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suokaenergy-labo.com/Desktop/"/>
    </mc:Choice>
  </mc:AlternateContent>
  <xr:revisionPtr revIDLastSave="0" documentId="13_ncr:1_{4240D17A-B7BB-3141-A37F-A264A1C7A7BF}" xr6:coauthVersionLast="47" xr6:coauthVersionMax="47" xr10:uidLastSave="{00000000-0000-0000-0000-000000000000}"/>
  <bookViews>
    <workbookView xWindow="0" yWindow="500" windowWidth="28800" windowHeight="16400" xr2:uid="{F88C8D32-B0B8-9041-99ED-B4EB73B1933D}"/>
  </bookViews>
  <sheets>
    <sheet name="ケーススタディ" sheetId="4" r:id="rId1"/>
  </sheets>
  <definedNames>
    <definedName name="_xlnm._FilterDatabase" localSheetId="0" hidden="1">ケーススタディ!$AE$15:$AE$21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4" i="4" l="1"/>
  <c r="X5" i="4"/>
  <c r="X6" i="4"/>
  <c r="X7" i="4"/>
  <c r="X8" i="4"/>
  <c r="X10" i="4"/>
  <c r="X11" i="4"/>
  <c r="X12" i="4"/>
  <c r="X13" i="4"/>
  <c r="X14" i="4"/>
  <c r="X15" i="4"/>
  <c r="X18" i="4"/>
  <c r="X19" i="4"/>
  <c r="X20" i="4"/>
  <c r="X21" i="4"/>
  <c r="AA4" i="4"/>
  <c r="AA5" i="4"/>
  <c r="AA6" i="4"/>
  <c r="AA7" i="4"/>
  <c r="AA8" i="4"/>
  <c r="AA10" i="4"/>
  <c r="AA11" i="4"/>
  <c r="AA12" i="4"/>
  <c r="AA13" i="4"/>
  <c r="AA14" i="4"/>
  <c r="AA15" i="4"/>
  <c r="AA18" i="4"/>
  <c r="AA19" i="4"/>
  <c r="AA20" i="4"/>
  <c r="AA21" i="4"/>
  <c r="AG17" i="4" l="1"/>
  <c r="AH17" i="4" s="1"/>
  <c r="AG16" i="4"/>
  <c r="AH16" i="4" s="1"/>
  <c r="AG18" i="4" l="1"/>
  <c r="AH18" i="4" s="1"/>
  <c r="AI18" i="4" s="1"/>
  <c r="J18" i="4" s="1"/>
  <c r="AG15" i="4"/>
  <c r="AH15" i="4" s="1"/>
  <c r="AI15" i="4" s="1"/>
  <c r="J15" i="4" s="1"/>
  <c r="AI17" i="4"/>
  <c r="J17" i="4" s="1"/>
  <c r="AI16" i="4"/>
  <c r="J16" i="4" s="1"/>
  <c r="AG21" i="4"/>
  <c r="AH21" i="4" s="1"/>
  <c r="AI21" i="4" s="1"/>
  <c r="AG20" i="4"/>
  <c r="AH20" i="4" s="1"/>
  <c r="AI20" i="4" s="1"/>
  <c r="AG19" i="4"/>
  <c r="AH19" i="4" s="1"/>
  <c r="AI19" i="4" s="1"/>
  <c r="J19" i="4" l="1"/>
  <c r="L19" i="4" s="1"/>
  <c r="J20" i="4"/>
  <c r="K20" i="4" s="1"/>
  <c r="J21" i="4"/>
  <c r="L21" i="4" s="1"/>
  <c r="AG8" i="4"/>
  <c r="AH8" i="4" s="1"/>
  <c r="AI8" i="4" s="1"/>
  <c r="AG9" i="4"/>
  <c r="AH9" i="4" s="1"/>
  <c r="AG10" i="4"/>
  <c r="AH10" i="4" s="1"/>
  <c r="AI10" i="4" s="1"/>
  <c r="AG11" i="4"/>
  <c r="AH11" i="4" s="1"/>
  <c r="AI11" i="4" s="1"/>
  <c r="AG12" i="4"/>
  <c r="AH12" i="4" s="1"/>
  <c r="AI12" i="4" s="1"/>
  <c r="AG13" i="4"/>
  <c r="AH13" i="4" s="1"/>
  <c r="AI13" i="4" s="1"/>
  <c r="AG14" i="4"/>
  <c r="AH14" i="4" s="1"/>
  <c r="AI14" i="4" s="1"/>
  <c r="K18" i="4"/>
  <c r="K17" i="4"/>
  <c r="K16" i="4"/>
  <c r="L18" i="4"/>
  <c r="L17" i="4"/>
  <c r="L16" i="4"/>
  <c r="K19" i="4" l="1"/>
  <c r="K21" i="4"/>
  <c r="L20" i="4"/>
  <c r="AI9" i="4"/>
  <c r="J9" i="4" s="1"/>
  <c r="AG6" i="4"/>
  <c r="AH6" i="4" s="1"/>
  <c r="AI6" i="4" s="1"/>
  <c r="J12" i="4"/>
  <c r="K12" i="4" s="1"/>
  <c r="AG4" i="4"/>
  <c r="AH4" i="4" s="1"/>
  <c r="AI4" i="4" s="1"/>
  <c r="J4" i="4" s="1"/>
  <c r="J13" i="4"/>
  <c r="K13" i="4" s="1"/>
  <c r="J10" i="4"/>
  <c r="L10" i="4" s="1"/>
  <c r="J14" i="4"/>
  <c r="J11" i="4"/>
  <c r="AG7" i="4"/>
  <c r="AH7" i="4" s="1"/>
  <c r="AI7" i="4" s="1"/>
  <c r="J8" i="4"/>
  <c r="AG5" i="4"/>
  <c r="AH5" i="4" s="1"/>
  <c r="J7" i="4" l="1"/>
  <c r="K7" i="4" s="1"/>
  <c r="J6" i="4"/>
  <c r="L6" i="4" s="1"/>
  <c r="AI5" i="4"/>
  <c r="J5" i="4" s="1"/>
  <c r="L12" i="4"/>
  <c r="L13" i="4"/>
  <c r="K10" i="4"/>
  <c r="K4" i="4"/>
  <c r="L4" i="4"/>
  <c r="L9" i="4"/>
  <c r="K9" i="4"/>
  <c r="K11" i="4"/>
  <c r="L11" i="4"/>
  <c r="K14" i="4"/>
  <c r="L14" i="4"/>
  <c r="L8" i="4"/>
  <c r="K8" i="4"/>
  <c r="L7" i="4" l="1"/>
  <c r="K6" i="4"/>
  <c r="K5" i="4"/>
  <c r="L5" i="4"/>
  <c r="L15" i="4"/>
  <c r="K15" i="4"/>
  <c r="S21" i="4" l="1"/>
</calcChain>
</file>

<file path=xl/sharedStrings.xml><?xml version="1.0" encoding="utf-8"?>
<sst xmlns="http://schemas.openxmlformats.org/spreadsheetml/2006/main" count="205" uniqueCount="164">
  <si>
    <t>公園・オープンスペース(㎡)</t>
    <rPh sb="0" eb="2">
      <t>コウエn</t>
    </rPh>
    <phoneticPr fontId="2"/>
  </si>
  <si>
    <t>売場面積　 (㎡)</t>
    <rPh sb="0" eb="4">
      <t>ウリブメンセキキャク</t>
    </rPh>
    <phoneticPr fontId="2"/>
  </si>
  <si>
    <t>宿泊施設　(客室数)</t>
    <rPh sb="0" eb="4">
      <t>シュク</t>
    </rPh>
    <rPh sb="5" eb="8">
      <t>キャク</t>
    </rPh>
    <phoneticPr fontId="2"/>
  </si>
  <si>
    <t>大学・専門学校　 (人数)</t>
    <rPh sb="0" eb="1">
      <t>ダイ</t>
    </rPh>
    <rPh sb="9" eb="11">
      <t>ニn</t>
    </rPh>
    <phoneticPr fontId="2"/>
  </si>
  <si>
    <t>NPO法人　 (団体数)</t>
    <rPh sb="3" eb="5">
      <t>ホウ</t>
    </rPh>
    <rPh sb="7" eb="10">
      <t>ダンタイ</t>
    </rPh>
    <phoneticPr fontId="2"/>
  </si>
  <si>
    <t>⑴
基本文化環境</t>
    <rPh sb="4" eb="6">
      <t>カンキョウ</t>
    </rPh>
    <phoneticPr fontId="2"/>
  </si>
  <si>
    <t>2文化系指標</t>
    <rPh sb="0" eb="6">
      <t>ブンカ</t>
    </rPh>
    <phoneticPr fontId="2"/>
  </si>
  <si>
    <t>3文明系指標</t>
    <rPh sb="1" eb="3">
      <t>ブンメイ</t>
    </rPh>
    <rPh sb="3" eb="6">
      <t>ブンカ</t>
    </rPh>
    <phoneticPr fontId="2"/>
  </si>
  <si>
    <t>映画館  (席数)</t>
    <rPh sb="6" eb="8">
      <t>セキ</t>
    </rPh>
    <phoneticPr fontId="2"/>
  </si>
  <si>
    <t>コンサート・ライブ会場  (席数)</t>
    <phoneticPr fontId="2"/>
  </si>
  <si>
    <t>人口当たり税収（円/人）</t>
    <rPh sb="0" eb="3">
      <t>ジンコウアタリ</t>
    </rPh>
    <rPh sb="6" eb="7">
      <t>エn</t>
    </rPh>
    <rPh sb="10" eb="11">
      <t>ヒト</t>
    </rPh>
    <phoneticPr fontId="2"/>
  </si>
  <si>
    <t>１㎢当たりの事業所数</t>
    <rPh sb="2" eb="3">
      <t>アタリ</t>
    </rPh>
    <rPh sb="6" eb="10">
      <t>ジギョウ</t>
    </rPh>
    <phoneticPr fontId="2"/>
  </si>
  <si>
    <t>１㎢当たりの従業者数（人）</t>
    <rPh sb="0" eb="4">
      <t>ジュウギョウ</t>
    </rPh>
    <rPh sb="5" eb="6">
      <t>ニn</t>
    </rPh>
    <phoneticPr fontId="2"/>
  </si>
  <si>
    <t>在留外国人率（％）</t>
    <rPh sb="0" eb="5">
      <t>ザイリュウ</t>
    </rPh>
    <rPh sb="5" eb="6">
      <t xml:space="preserve">リツ </t>
    </rPh>
    <phoneticPr fontId="2"/>
  </si>
  <si>
    <t>⑴
エリアの生活
インフラ</t>
    <phoneticPr fontId="2"/>
  </si>
  <si>
    <t>女性の労働力率（％）</t>
    <rPh sb="0" eb="2">
      <t>ジョセイ</t>
    </rPh>
    <rPh sb="5" eb="6">
      <t>リョク</t>
    </rPh>
    <rPh sb="6" eb="7">
      <t xml:space="preserve">リツ </t>
    </rPh>
    <phoneticPr fontId="2"/>
  </si>
  <si>
    <t>人口当たり実質収支（円/人）</t>
    <rPh sb="0" eb="4">
      <t>ジッ_x0000__x0000_</t>
    </rPh>
    <rPh sb="7" eb="9">
      <t>シュウセィ</t>
    </rPh>
    <rPh sb="12" eb="13">
      <t/>
    </rPh>
    <phoneticPr fontId="2"/>
  </si>
  <si>
    <t>話題流通量（twitter解析）</t>
    <rPh sb="0" eb="2">
      <t>ワダイ</t>
    </rPh>
    <rPh sb="2" eb="5">
      <t>リュウツウ</t>
    </rPh>
    <rPh sb="13" eb="15">
      <t>カイセキ</t>
    </rPh>
    <phoneticPr fontId="2"/>
  </si>
  <si>
    <t>16
(*4)</t>
    <phoneticPr fontId="2"/>
  </si>
  <si>
    <t>16
(*16)</t>
    <phoneticPr fontId="2"/>
  </si>
  <si>
    <t>15
(*3)</t>
    <phoneticPr fontId="2"/>
  </si>
  <si>
    <t>9
(*3)</t>
    <phoneticPr fontId="2"/>
  </si>
  <si>
    <t>12
(*3)</t>
    <phoneticPr fontId="2"/>
  </si>
  <si>
    <t>32
(*32)</t>
    <phoneticPr fontId="2"/>
  </si>
  <si>
    <t>計</t>
    <rPh sb="0" eb="1">
      <t xml:space="preserve">ケイ </t>
    </rPh>
    <phoneticPr fontId="2"/>
  </si>
  <si>
    <t>1 
共感人口活動指標</t>
    <rPh sb="2" eb="4">
      <t>キョウカn</t>
    </rPh>
    <rPh sb="4" eb="6">
      <t>j</t>
    </rPh>
    <rPh sb="6" eb="8">
      <t>カツドウ</t>
    </rPh>
    <rPh sb="8" eb="10">
      <t>シヒョウ</t>
    </rPh>
    <phoneticPr fontId="2"/>
  </si>
  <si>
    <t>エリア平均来街者数</t>
    <phoneticPr fontId="2"/>
  </si>
  <si>
    <t>⑵
街の文化発信</t>
    <rPh sb="1" eb="2">
      <t>マティ</t>
    </rPh>
    <rPh sb="3" eb="7">
      <t>ブンカ</t>
    </rPh>
    <phoneticPr fontId="2"/>
  </si>
  <si>
    <t>項目</t>
    <rPh sb="0" eb="2">
      <t>コウモク</t>
    </rPh>
    <phoneticPr fontId="2"/>
  </si>
  <si>
    <t>⑵
環境・多様性
基盤</t>
    <rPh sb="2" eb="4">
      <t>カンキョウ</t>
    </rPh>
    <rPh sb="5" eb="8">
      <t>タヨウ</t>
    </rPh>
    <rPh sb="8" eb="10">
      <t xml:space="preserve">キバン </t>
    </rPh>
    <phoneticPr fontId="2"/>
  </si>
  <si>
    <t>⑶
経済・行政基盤</t>
    <rPh sb="5" eb="7">
      <t>ギョウセイ</t>
    </rPh>
    <phoneticPr fontId="2"/>
  </si>
  <si>
    <t>１㎢当たりのCO2排出量
(1000t-co2/km2)</t>
    <rPh sb="3" eb="6">
      <t>ハイシュテゥ</t>
    </rPh>
    <phoneticPr fontId="2"/>
  </si>
  <si>
    <t>年間売上額  (円)</t>
    <phoneticPr fontId="2"/>
  </si>
  <si>
    <t>池袋</t>
    <rPh sb="0" eb="2">
      <t>イケブクロ</t>
    </rPh>
    <phoneticPr fontId="2"/>
  </si>
  <si>
    <t>東京都</t>
  </si>
  <si>
    <t>東京都</t>
    <rPh sb="0" eb="3">
      <t>トウキョウ</t>
    </rPh>
    <phoneticPr fontId="2"/>
  </si>
  <si>
    <t>渋谷</t>
    <rPh sb="0" eb="2">
      <t>シブヤ</t>
    </rPh>
    <phoneticPr fontId="2"/>
  </si>
  <si>
    <t>渋谷</t>
    <rPh sb="0" eb="1">
      <t>シブヤ</t>
    </rPh>
    <phoneticPr fontId="2"/>
  </si>
  <si>
    <t>渋谷</t>
    <phoneticPr fontId="2"/>
  </si>
  <si>
    <t>池袋</t>
    <rPh sb="0" eb="1">
      <t>イケブクロ</t>
    </rPh>
    <phoneticPr fontId="2"/>
  </si>
  <si>
    <t>西新宿</t>
    <rPh sb="0" eb="3">
      <t>ニシシンジュク</t>
    </rPh>
    <phoneticPr fontId="2"/>
  </si>
  <si>
    <t>西新宿</t>
    <rPh sb="0" eb="1">
      <t>ニシシンジュク</t>
    </rPh>
    <phoneticPr fontId="2"/>
  </si>
  <si>
    <t>エリア</t>
    <phoneticPr fontId="2"/>
  </si>
  <si>
    <t>池袋</t>
    <phoneticPr fontId="2"/>
  </si>
  <si>
    <t>大丸有</t>
    <rPh sb="0" eb="3">
      <t>ダイマル</t>
    </rPh>
    <phoneticPr fontId="2"/>
  </si>
  <si>
    <t>ツイート</t>
    <phoneticPr fontId="2"/>
  </si>
  <si>
    <t>山手線全駅</t>
    <rPh sb="4" eb="5">
      <t>ゼンエキ</t>
    </rPh>
    <phoneticPr fontId="2"/>
  </si>
  <si>
    <t>東京都</t>
    <phoneticPr fontId="2"/>
  </si>
  <si>
    <t>%</t>
  </si>
  <si>
    <t>%</t>
    <phoneticPr fontId="2"/>
  </si>
  <si>
    <t>中央区</t>
    <rPh sb="0" eb="3">
      <t>チュウ</t>
    </rPh>
    <phoneticPr fontId="2"/>
  </si>
  <si>
    <t>新宿区</t>
    <rPh sb="0" eb="3">
      <t>シンジュク</t>
    </rPh>
    <phoneticPr fontId="2"/>
  </si>
  <si>
    <t>円/人</t>
    <rPh sb="0" eb="1">
      <t>エn</t>
    </rPh>
    <rPh sb="2" eb="3">
      <t xml:space="preserve">ニン </t>
    </rPh>
    <phoneticPr fontId="2"/>
  </si>
  <si>
    <t>港区</t>
    <rPh sb="0" eb="2">
      <t>ミナト</t>
    </rPh>
    <phoneticPr fontId="2"/>
  </si>
  <si>
    <t>円/人</t>
    <phoneticPr fontId="2"/>
  </si>
  <si>
    <t>港区</t>
    <rPh sb="0" eb="1">
      <t>ミナトク</t>
    </rPh>
    <phoneticPr fontId="2"/>
  </si>
  <si>
    <t>件/㎢</t>
    <rPh sb="0" eb="1">
      <t>ケn</t>
    </rPh>
    <phoneticPr fontId="2"/>
  </si>
  <si>
    <t>中央区</t>
    <rPh sb="0" eb="1">
      <t>チュウ</t>
    </rPh>
    <phoneticPr fontId="2"/>
  </si>
  <si>
    <t>人/㎢</t>
    <rPh sb="0" eb="1">
      <t>ヒト</t>
    </rPh>
    <phoneticPr fontId="2"/>
  </si>
  <si>
    <t>千代田区</t>
    <rPh sb="0" eb="4">
      <t>チヨダ</t>
    </rPh>
    <phoneticPr fontId="2"/>
  </si>
  <si>
    <t>（4エリアでの最高値）</t>
    <rPh sb="7" eb="10">
      <t>サイコウテ</t>
    </rPh>
    <phoneticPr fontId="2"/>
  </si>
  <si>
    <t>大丸有</t>
    <rPh sb="0" eb="3">
      <t>チヨダ</t>
    </rPh>
    <phoneticPr fontId="2"/>
  </si>
  <si>
    <t>エリアクオリア指標 概算スコア自動算出シート</t>
    <rPh sb="10" eb="12">
      <t>ガイサn</t>
    </rPh>
    <rPh sb="15" eb="17">
      <t>ジドウ</t>
    </rPh>
    <rPh sb="17" eb="19">
      <t>サンシュテゥ</t>
    </rPh>
    <phoneticPr fontId="2"/>
  </si>
  <si>
    <t>平均採用</t>
    <rPh sb="0" eb="4">
      <t>サイヨウ</t>
    </rPh>
    <phoneticPr fontId="2"/>
  </si>
  <si>
    <t>ランクは</t>
    <phoneticPr fontId="2"/>
  </si>
  <si>
    <t>です</t>
    <phoneticPr fontId="2"/>
  </si>
  <si>
    <t>基準値</t>
    <rPh sb="0" eb="3">
      <t>キジュn</t>
    </rPh>
    <phoneticPr fontId="2"/>
  </si>
  <si>
    <t>格付け</t>
    <rPh sb="0" eb="2">
      <t>カクヅケ</t>
    </rPh>
    <phoneticPr fontId="2"/>
  </si>
  <si>
    <t>C</t>
    <phoneticPr fontId="2"/>
  </si>
  <si>
    <t>CC</t>
    <phoneticPr fontId="2"/>
  </si>
  <si>
    <t>CCC</t>
    <phoneticPr fontId="2"/>
  </si>
  <si>
    <t>B</t>
    <phoneticPr fontId="2"/>
  </si>
  <si>
    <t>BB</t>
    <phoneticPr fontId="2"/>
  </si>
  <si>
    <t>BBB</t>
    <phoneticPr fontId="2"/>
  </si>
  <si>
    <t>A</t>
    <phoneticPr fontId="2"/>
  </si>
  <si>
    <t>AA</t>
    <phoneticPr fontId="2"/>
  </si>
  <si>
    <t>AAA</t>
    <phoneticPr fontId="2"/>
  </si>
  <si>
    <t>項目別
スコア</t>
    <phoneticPr fontId="2"/>
  </si>
  <si>
    <t>項目別
格付け</t>
    <rPh sb="0" eb="3">
      <t>コウモク</t>
    </rPh>
    <rPh sb="3" eb="5">
      <t>カクヅケ</t>
    </rPh>
    <phoneticPr fontId="2"/>
  </si>
  <si>
    <t>重み付け</t>
    <phoneticPr fontId="2"/>
  </si>
  <si>
    <t>1000t-co2/㎢</t>
    <phoneticPr fontId="2"/>
  </si>
  <si>
    <t>総合
指数</t>
    <rPh sb="0" eb="2">
      <t>ソウゴウ</t>
    </rPh>
    <rPh sb="2" eb="4">
      <t>シスウ</t>
    </rPh>
    <phoneticPr fontId="2"/>
  </si>
  <si>
    <t>スコア
平均</t>
    <rPh sb="3" eb="5">
      <t>ヘイキn</t>
    </rPh>
    <phoneticPr fontId="2"/>
  </si>
  <si>
    <t>採用
エリア</t>
    <phoneticPr fontId="2"/>
  </si>
  <si>
    <t>f-t</t>
    <phoneticPr fontId="2"/>
  </si>
  <si>
    <t>a</t>
    <phoneticPr fontId="2"/>
  </si>
  <si>
    <t>b</t>
    <phoneticPr fontId="2"/>
  </si>
  <si>
    <t>平均採用
実数</t>
    <rPh sb="0" eb="4">
      <t>ヘイキンス</t>
    </rPh>
    <rPh sb="5" eb="7">
      <t>ジッスウ</t>
    </rPh>
    <phoneticPr fontId="2"/>
  </si>
  <si>
    <t>最高エリア
実数</t>
    <rPh sb="0" eb="2">
      <t>サイコウ</t>
    </rPh>
    <rPh sb="6" eb="8">
      <t>ジッスウ</t>
    </rPh>
    <phoneticPr fontId="2"/>
  </si>
  <si>
    <t>山手線全駅</t>
    <rPh sb="0" eb="1">
      <t>ヤマノテ</t>
    </rPh>
    <rPh sb="3" eb="4">
      <t>ゼンエ</t>
    </rPh>
    <phoneticPr fontId="2"/>
  </si>
  <si>
    <t>(f)</t>
    <phoneticPr fontId="2"/>
  </si>
  <si>
    <t>(t)</t>
    <phoneticPr fontId="2"/>
  </si>
  <si>
    <t>面積
(ha)</t>
    <rPh sb="0" eb="2">
      <t>メンセキ</t>
    </rPh>
    <phoneticPr fontId="2"/>
  </si>
  <si>
    <t>平均値
(ha/㎢当り)</t>
    <rPh sb="9" eb="10">
      <t>アタリ</t>
    </rPh>
    <phoneticPr fontId="2"/>
  </si>
  <si>
    <t>最高値
(ha/㎢当り)</t>
    <rPh sb="7" eb="8">
      <t>アタリ</t>
    </rPh>
    <phoneticPr fontId="2"/>
  </si>
  <si>
    <t>東京都
人口</t>
    <rPh sb="0" eb="3">
      <t>トウキョウ</t>
    </rPh>
    <rPh sb="4" eb="6">
      <t>ジンコウ</t>
    </rPh>
    <phoneticPr fontId="2"/>
  </si>
  <si>
    <t>千代田区</t>
    <rPh sb="0" eb="1">
      <t>チヨダ</t>
    </rPh>
    <phoneticPr fontId="2"/>
  </si>
  <si>
    <t>東京都
面積(㎢)</t>
    <rPh sb="0" eb="1">
      <t>トウキョウ</t>
    </rPh>
    <rPh sb="4" eb="6">
      <t>メンセキ</t>
    </rPh>
    <phoneticPr fontId="2"/>
  </si>
  <si>
    <t>山手線全駅
(半径400m)</t>
    <rPh sb="0" eb="3">
      <t>ヤマノテ</t>
    </rPh>
    <rPh sb="3" eb="5">
      <t>ゼンエキ</t>
    </rPh>
    <rPh sb="7" eb="9">
      <t>ハンケイ</t>
    </rPh>
    <phoneticPr fontId="2"/>
  </si>
  <si>
    <t>※少ないほど良いので最大値を0に設定(t-f)</t>
    <rPh sb="7" eb="8">
      <t>スクナイホデ</t>
    </rPh>
    <rPh sb="10" eb="12">
      <t>サイダイ</t>
    </rPh>
    <phoneticPr fontId="2"/>
  </si>
  <si>
    <t>　</t>
    <phoneticPr fontId="2"/>
  </si>
  <si>
    <t>人/ha</t>
    <rPh sb="0" eb="1">
      <t>ヒト</t>
    </rPh>
    <phoneticPr fontId="2"/>
  </si>
  <si>
    <t>席/ha</t>
    <rPh sb="0" eb="1">
      <t>セキ</t>
    </rPh>
    <phoneticPr fontId="2"/>
  </si>
  <si>
    <t>団体/ha</t>
    <rPh sb="0" eb="2">
      <t>ダンタイ</t>
    </rPh>
    <phoneticPr fontId="2"/>
  </si>
  <si>
    <t>㎡/ha</t>
    <phoneticPr fontId="2"/>
  </si>
  <si>
    <t>室/ha</t>
    <rPh sb="0" eb="1">
      <t>シテゥ</t>
    </rPh>
    <phoneticPr fontId="2"/>
  </si>
  <si>
    <t>算出方法</t>
    <rPh sb="0" eb="4">
      <t>サンシュテゥ</t>
    </rPh>
    <phoneticPr fontId="2"/>
  </si>
  <si>
    <t>平均値</t>
    <phoneticPr fontId="2"/>
  </si>
  <si>
    <t>最高値</t>
    <phoneticPr fontId="2"/>
  </si>
  <si>
    <t>指数値</t>
    <rPh sb="0" eb="2">
      <t>シスウ</t>
    </rPh>
    <rPh sb="2" eb="3">
      <t xml:space="preserve">チ </t>
    </rPh>
    <phoneticPr fontId="2"/>
  </si>
  <si>
    <t>524.16
(山手線全駅平均)</t>
    <rPh sb="8" eb="11">
      <t>ヤマノテス</t>
    </rPh>
    <rPh sb="11" eb="13">
      <t>ゼンエキ</t>
    </rPh>
    <rPh sb="13" eb="15">
      <t>ヘイキn</t>
    </rPh>
    <phoneticPr fontId="2"/>
  </si>
  <si>
    <t>参考値</t>
    <rPh sb="0" eb="3">
      <t>サンコウ</t>
    </rPh>
    <phoneticPr fontId="2"/>
  </si>
  <si>
    <t>0.0005
東京都平均</t>
    <phoneticPr fontId="2"/>
  </si>
  <si>
    <t>0.34
東京都平均</t>
    <phoneticPr fontId="2"/>
  </si>
  <si>
    <t>5.64
東京都平均</t>
    <phoneticPr fontId="2"/>
  </si>
  <si>
    <t>0.04
山手線全駅平均</t>
    <rPh sb="5" eb="10">
      <t>ヤマノテセンゼンエク</t>
    </rPh>
    <phoneticPr fontId="2"/>
  </si>
  <si>
    <t>31.28
東京都平均</t>
    <phoneticPr fontId="2"/>
  </si>
  <si>
    <t>0.92
東京都平均</t>
    <phoneticPr fontId="2"/>
  </si>
  <si>
    <t>367.28
東京都平均</t>
    <phoneticPr fontId="2"/>
  </si>
  <si>
    <t>4.10
東京都平均</t>
    <phoneticPr fontId="2"/>
  </si>
  <si>
    <t>29.8
東京都平均</t>
    <phoneticPr fontId="2"/>
  </si>
  <si>
    <t>53.4
東京都平均</t>
    <phoneticPr fontId="2"/>
  </si>
  <si>
    <t>4.0
東京都平均</t>
    <phoneticPr fontId="2"/>
  </si>
  <si>
    <t>312
東京都平均</t>
    <phoneticPr fontId="2"/>
  </si>
  <si>
    <t>0.0769
渋谷</t>
    <phoneticPr fontId="2"/>
  </si>
  <si>
    <t>45.5
池袋</t>
    <phoneticPr fontId="2"/>
  </si>
  <si>
    <t>190.15
渋谷</t>
    <phoneticPr fontId="2"/>
  </si>
  <si>
    <t>0.73
西新宿</t>
    <phoneticPr fontId="2"/>
  </si>
  <si>
    <t>60.32
西新宿</t>
    <rPh sb="6" eb="9">
      <t>ニシシンジュク</t>
    </rPh>
    <phoneticPr fontId="2"/>
  </si>
  <si>
    <t>110.94
西新宿</t>
    <phoneticPr fontId="2"/>
  </si>
  <si>
    <t>314.8
千代田区</t>
    <phoneticPr fontId="2"/>
  </si>
  <si>
    <t>65.2
中央区</t>
    <rPh sb="5" eb="8">
      <t>チュウ</t>
    </rPh>
    <phoneticPr fontId="2"/>
  </si>
  <si>
    <t>11.1
新宿区</t>
    <phoneticPr fontId="2"/>
  </si>
  <si>
    <t>あなたの街のエリアクオリア指標</t>
    <phoneticPr fontId="2"/>
  </si>
  <si>
    <t>円/ha</t>
    <phoneticPr fontId="2"/>
  </si>
  <si>
    <t>あなたの街の推定値を
入力してください</t>
    <rPh sb="6" eb="7">
      <t>スイテ</t>
    </rPh>
    <rPh sb="7" eb="9">
      <t>ソウテイ</t>
    </rPh>
    <rPh sb="10" eb="12">
      <t>ニュウリョク</t>
    </rPh>
    <phoneticPr fontId="2"/>
  </si>
  <si>
    <r>
      <t>文化施設/博物館・美術館・劇場等</t>
    </r>
    <r>
      <rPr>
        <sz val="6"/>
        <color theme="1"/>
        <rFont val="游ゴシック"/>
        <family val="3"/>
        <charset val="128"/>
      </rPr>
      <t>(軒数)</t>
    </r>
    <rPh sb="0" eb="4">
      <t>ブンカ</t>
    </rPh>
    <rPh sb="5" eb="8">
      <t>ハクブテゥ</t>
    </rPh>
    <rPh sb="13" eb="16">
      <t>ゲキ</t>
    </rPh>
    <rPh sb="17" eb="18">
      <t xml:space="preserve">ケン </t>
    </rPh>
    <phoneticPr fontId="2"/>
  </si>
  <si>
    <t>軒/ha</t>
    <rPh sb="0" eb="1">
      <t xml:space="preserve">ケン </t>
    </rPh>
    <phoneticPr fontId="2"/>
  </si>
  <si>
    <t>・1ha当りの来街者数（1ヶ月間）を推定してください。
山手線全駅の平均来街者数(半径400m)を50、最高数値エリアの来街者数を100とした時の数値をスコア化します。</t>
    <rPh sb="4" eb="5">
      <t xml:space="preserve"> Atari</t>
    </rPh>
    <rPh sb="7" eb="9">
      <t>ライガイ</t>
    </rPh>
    <rPh sb="9" eb="10">
      <t>sy</t>
    </rPh>
    <rPh sb="10" eb="11">
      <t>スウ</t>
    </rPh>
    <rPh sb="18" eb="20">
      <t>スイテ</t>
    </rPh>
    <phoneticPr fontId="2"/>
  </si>
  <si>
    <t>・1ha当りの当該数値を推定してください。
東京都のha当り換算値を50,最高数値エリアのha当り換算値を100とした時の数値をスコア化します。</t>
    <rPh sb="7" eb="11">
      <t>トウガ</t>
    </rPh>
    <phoneticPr fontId="2"/>
  </si>
  <si>
    <t>・当該エリアが関連したツイート数を推定してください。
た山手線各駅の平均Tweet実数を50、最高数値エリアのTweet実数を100としたときの数値をスコア化します。</t>
    <rPh sb="7" eb="9">
      <t>カンレンス</t>
    </rPh>
    <phoneticPr fontId="2"/>
  </si>
  <si>
    <t>・1ha当りの当該数値を推定してください。
東京都のha当り換算値を50,最高数値エリアのha当り換算値を100とした時の数値をスコア化します。</t>
    <phoneticPr fontId="2"/>
  </si>
  <si>
    <t>・エリアの当該数値を推定してください。
東京都の平均値を50,東京23区と全国の政令指定都市計45自治体のうち最高数値エリアの換算値を100とした時の数値をスコア化します。</t>
    <rPh sb="5" eb="7">
      <t>トウガイ</t>
    </rPh>
    <rPh sb="7" eb="9">
      <t>ガイトウ</t>
    </rPh>
    <rPh sb="10" eb="12">
      <t>スイテイ</t>
    </rPh>
    <phoneticPr fontId="2"/>
  </si>
  <si>
    <t>・1㎢当りの当該数値を推定してください。
東京都の平均値を50,東京23区と全国の政令指定都市計45自治体のうち最高数値エリアの換算値を0とした時の数値をスコア化します。</t>
    <phoneticPr fontId="2"/>
  </si>
  <si>
    <t>・人口1人当りの当該数値を推定してください。
東京都の平均値を50,東京23区と全国の政令指定都市計45自治体のうち最高数値エリアの換算値を0とした時の数値をスコア化します。</t>
    <rPh sb="1" eb="5">
      <t>ジンコウヒトリアタリ</t>
    </rPh>
    <rPh sb="5" eb="6">
      <t xml:space="preserve">アタリ </t>
    </rPh>
    <phoneticPr fontId="2"/>
  </si>
  <si>
    <t>1,107.3
池袋</t>
    <rPh sb="8" eb="10">
      <t>イケブクロ</t>
    </rPh>
    <phoneticPr fontId="2"/>
  </si>
  <si>
    <t>455,724
東京都平均</t>
    <phoneticPr fontId="2"/>
  </si>
  <si>
    <t>2,980,313
渋谷</t>
    <phoneticPr fontId="2"/>
  </si>
  <si>
    <t>46,940,014
東京都平均</t>
    <phoneticPr fontId="2"/>
  </si>
  <si>
    <t>9,654,846,154
渋谷</t>
    <phoneticPr fontId="2"/>
  </si>
  <si>
    <t>6,311.69
渋谷</t>
    <phoneticPr fontId="2"/>
  </si>
  <si>
    <t>1,020
西新宿</t>
    <phoneticPr fontId="2"/>
  </si>
  <si>
    <t>134,336
東京都平均</t>
    <phoneticPr fontId="2"/>
  </si>
  <si>
    <t>318,062
港区</t>
    <rPh sb="8" eb="10">
      <t>ミナ</t>
    </rPh>
    <phoneticPr fontId="2"/>
  </si>
  <si>
    <t>16,354
東京都平均</t>
    <phoneticPr fontId="2"/>
  </si>
  <si>
    <t>43,021
港区</t>
    <rPh sb="7" eb="9">
      <t>ミナト</t>
    </rPh>
    <phoneticPr fontId="2"/>
  </si>
  <si>
    <t>4,107
中央区</t>
    <rPh sb="6" eb="9">
      <t>チュウ</t>
    </rPh>
    <phoneticPr fontId="2"/>
  </si>
  <si>
    <t>4,105
東京都平均</t>
    <phoneticPr fontId="2"/>
  </si>
  <si>
    <t>80,818
千代田区</t>
    <phoneticPr fontId="2"/>
  </si>
  <si>
    <t>＜概算指数合計＞</t>
    <rPh sb="1" eb="3">
      <t>ガイサn</t>
    </rPh>
    <rPh sb="3" eb="7">
      <t xml:space="preserve">シスウ </t>
    </rPh>
    <phoneticPr fontId="2"/>
  </si>
  <si>
    <t>指数は</t>
    <rPh sb="0" eb="2">
      <t>シスウ</t>
    </rPh>
    <phoneticPr fontId="2"/>
  </si>
  <si>
    <t>/10,000</t>
    <phoneticPr fontId="2"/>
  </si>
  <si>
    <t xml:space="preserve">  ●
●
●
</t>
    <phoneticPr fontId="2"/>
  </si>
  <si>
    <t>参考値（平均値及び最高値）を元にしてあなたの街の推計値を記入してみてください。
スコア数値に配分点を乗じた指数値が算出され、その合計点と、９段回での格付けが算出されます。
御依頼いただければ、正確な計測及び正式な格付け認定をいたします。</t>
    <rPh sb="0" eb="3">
      <t>サンコウ</t>
    </rPh>
    <rPh sb="4" eb="6">
      <t>ヘイキn</t>
    </rPh>
    <rPh sb="6" eb="7">
      <t>t</t>
    </rPh>
    <rPh sb="7" eb="8">
      <t>オヨビ</t>
    </rPh>
    <rPh sb="9" eb="12">
      <t>サイコウ</t>
    </rPh>
    <rPh sb="14" eb="15">
      <t>モトニ</t>
    </rPh>
    <rPh sb="24" eb="27">
      <t>スイケイ</t>
    </rPh>
    <rPh sb="28" eb="30">
      <t>_x0000__x0000__x0003__x0004_</t>
    </rPh>
    <rPh sb="86" eb="87">
      <t>_x0004__x0002__x0008_</t>
    </rPh>
    <rPh sb="96" eb="98">
      <t>_x0006__x0001_	_x0007_</t>
    </rPh>
    <rPh sb="99" eb="101">
      <t>_x0001__x000C_	_x0003__x0010__x000E__x0001__x0013__x0018__x0003__x0017__x001C__x0002__x001B_V_x0001__x001E_`_x0002_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</si>
</sst>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_ "/>
    <numFmt numFmtId="177" formatCode="0.0_ "/>
    <numFmt numFmtId="178" formatCode="0.00_ "/>
    <numFmt numFmtId="179" formatCode="0.0000_ "/>
    <numFmt numFmtId="180" formatCode="0.0_);[Red]\(0.0\)"/>
    <numFmt numFmtId="181" formatCode="0.00_);[Red]\(0.00\)"/>
    <numFmt numFmtId="182" formatCode="#,##0_);[Red]\(#,##0\)"/>
    <numFmt numFmtId="183" formatCode="#,##0.0_);[Red]\(#,##0.0\)"/>
    <numFmt numFmtId="184" formatCode="#,##0.0_ "/>
    <numFmt numFmtId="185" formatCode="#,##0.00_ "/>
    <numFmt numFmtId="186" formatCode="#,##0_ "/>
  </numFmts>
  <fonts count="26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</font>
    <font>
      <sz val="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</font>
    <font>
      <sz val="9"/>
      <color theme="1"/>
      <name val="游ゴシック (本文)"/>
      <family val="3"/>
      <charset val="128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0"/>
      <color theme="1"/>
      <name val="游ゴシック (本文)"/>
      <family val="3"/>
      <charset val="128"/>
    </font>
    <font>
      <b/>
      <sz val="10"/>
      <color theme="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 style="double">
        <color theme="1"/>
      </bottom>
      <diagonal/>
    </border>
    <border>
      <left/>
      <right style="double">
        <color theme="1"/>
      </right>
      <top style="thin">
        <color theme="1"/>
      </top>
      <bottom style="double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/>
      <diagonal/>
    </border>
    <border>
      <left style="double">
        <color theme="1"/>
      </left>
      <right style="thin">
        <color theme="1"/>
      </right>
      <top/>
      <bottom/>
      <diagonal/>
    </border>
    <border>
      <left style="double">
        <color theme="1"/>
      </left>
      <right style="thin">
        <color theme="1"/>
      </right>
      <top/>
      <bottom style="thin">
        <color theme="1"/>
      </bottom>
      <diagonal/>
    </border>
    <border>
      <left style="double">
        <color theme="1"/>
      </left>
      <right style="thin">
        <color theme="1"/>
      </right>
      <top/>
      <bottom style="thin">
        <color indexed="64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6" fillId="0" borderId="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textRotation="255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3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2" borderId="0" xfId="0" applyFill="1">
      <alignment vertical="center"/>
    </xf>
    <xf numFmtId="178" fontId="0" fillId="0" borderId="0" xfId="0" applyNumberForma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 shrinkToFit="1"/>
    </xf>
    <xf numFmtId="0" fontId="16" fillId="0" borderId="0" xfId="0" applyFont="1" applyAlignment="1">
      <alignment horizontal="center" vertical="center"/>
    </xf>
    <xf numFmtId="178" fontId="0" fillId="0" borderId="0" xfId="0" applyNumberFormat="1" applyAlignment="1">
      <alignment vertical="center" shrinkToFit="1"/>
    </xf>
    <xf numFmtId="179" fontId="0" fillId="0" borderId="0" xfId="0" applyNumberFormat="1" applyAlignment="1">
      <alignment vertical="center" shrinkToFit="1"/>
    </xf>
    <xf numFmtId="0" fontId="4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1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 shrinkToFi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7" fillId="0" borderId="0" xfId="1" applyNumberFormat="1" applyFont="1" applyFill="1" applyBorder="1" applyAlignment="1">
      <alignment horizontal="left" vertical="center" wrapText="1"/>
    </xf>
    <xf numFmtId="0" fontId="7" fillId="0" borderId="0" xfId="1" applyNumberFormat="1" applyFont="1" applyFill="1" applyBorder="1" applyAlignment="1">
      <alignment vertical="center" wrapText="1"/>
    </xf>
    <xf numFmtId="0" fontId="22" fillId="0" borderId="0" xfId="0" applyFont="1">
      <alignment vertical="center"/>
    </xf>
    <xf numFmtId="0" fontId="18" fillId="0" borderId="0" xfId="0" applyFont="1">
      <alignment vertical="center"/>
    </xf>
    <xf numFmtId="0" fontId="14" fillId="0" borderId="0" xfId="0" applyFont="1" applyAlignment="1">
      <alignment horizontal="center" vertical="center" shrinkToFit="1"/>
    </xf>
    <xf numFmtId="0" fontId="0" fillId="2" borderId="11" xfId="0" applyFill="1" applyBorder="1">
      <alignment vertical="center"/>
    </xf>
    <xf numFmtId="0" fontId="6" fillId="4" borderId="1" xfId="0" applyFont="1" applyFill="1" applyBorder="1" applyAlignment="1">
      <alignment horizontal="centerContinuous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Continuous" vertical="center" wrapText="1"/>
    </xf>
    <xf numFmtId="177" fontId="4" fillId="0" borderId="1" xfId="0" applyNumberFormat="1" applyFont="1" applyBorder="1" applyAlignment="1">
      <alignment vertical="center" shrinkToFit="1"/>
    </xf>
    <xf numFmtId="179" fontId="4" fillId="0" borderId="1" xfId="0" applyNumberFormat="1" applyFont="1" applyBorder="1" applyAlignment="1">
      <alignment vertical="center" shrinkToFit="1"/>
    </xf>
    <xf numFmtId="181" fontId="4" fillId="0" borderId="1" xfId="0" applyNumberFormat="1" applyFont="1" applyBorder="1" applyAlignment="1">
      <alignment vertical="center" shrinkToFit="1"/>
    </xf>
    <xf numFmtId="177" fontId="1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vertical="center" wrapText="1"/>
    </xf>
    <xf numFmtId="0" fontId="10" fillId="3" borderId="18" xfId="0" applyFont="1" applyFill="1" applyBorder="1">
      <alignment vertical="center"/>
    </xf>
    <xf numFmtId="0" fontId="9" fillId="3" borderId="18" xfId="0" applyFont="1" applyFill="1" applyBorder="1">
      <alignment vertical="center"/>
    </xf>
    <xf numFmtId="0" fontId="9" fillId="3" borderId="18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0" fontId="12" fillId="3" borderId="18" xfId="0" applyFont="1" applyFill="1" applyBorder="1">
      <alignment vertical="center"/>
    </xf>
    <xf numFmtId="0" fontId="9" fillId="3" borderId="19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6" fillId="0" borderId="23" xfId="0" applyFont="1" applyBorder="1">
      <alignment vertical="center"/>
    </xf>
    <xf numFmtId="0" fontId="6" fillId="0" borderId="21" xfId="0" applyFont="1" applyBorder="1">
      <alignment vertical="center"/>
    </xf>
    <xf numFmtId="0" fontId="0" fillId="0" borderId="24" xfId="0" applyBorder="1">
      <alignment vertical="center"/>
    </xf>
    <xf numFmtId="177" fontId="23" fillId="0" borderId="1" xfId="0" applyNumberFormat="1" applyFont="1" applyBorder="1" applyAlignment="1">
      <alignment horizontal="center" vertical="center" wrapText="1"/>
    </xf>
    <xf numFmtId="179" fontId="23" fillId="0" borderId="1" xfId="0" applyNumberFormat="1" applyFont="1" applyBorder="1" applyAlignment="1">
      <alignment horizontal="center" vertical="center" wrapText="1"/>
    </xf>
    <xf numFmtId="178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76" fontId="23" fillId="0" borderId="1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182" fontId="5" fillId="0" borderId="17" xfId="0" applyNumberFormat="1" applyFont="1" applyBorder="1" applyAlignment="1">
      <alignment horizontal="center" vertical="center" shrinkToFit="1"/>
    </xf>
    <xf numFmtId="182" fontId="5" fillId="0" borderId="20" xfId="0" applyNumberFormat="1" applyFont="1" applyBorder="1" applyAlignment="1">
      <alignment horizontal="center" vertical="center" shrinkToFit="1"/>
    </xf>
    <xf numFmtId="183" fontId="17" fillId="0" borderId="1" xfId="0" applyNumberFormat="1" applyFont="1" applyBorder="1" applyAlignment="1">
      <alignment horizontal="center" vertical="center" shrinkToFit="1"/>
    </xf>
    <xf numFmtId="182" fontId="5" fillId="0" borderId="17" xfId="0" applyNumberFormat="1" applyFont="1" applyBorder="1" applyAlignment="1">
      <alignment vertical="center" shrinkToFit="1"/>
    </xf>
    <xf numFmtId="184" fontId="14" fillId="0" borderId="3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Continuous" vertical="center"/>
    </xf>
    <xf numFmtId="0" fontId="14" fillId="0" borderId="30" xfId="0" applyFont="1" applyBorder="1" applyAlignment="1">
      <alignment horizontal="centerContinuous" vertical="center"/>
    </xf>
    <xf numFmtId="184" fontId="4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Continuous" vertical="center" wrapText="1"/>
    </xf>
    <xf numFmtId="0" fontId="11" fillId="5" borderId="25" xfId="0" applyFont="1" applyFill="1" applyBorder="1" applyAlignment="1">
      <alignment horizontal="centerContinuous" vertical="center"/>
    </xf>
    <xf numFmtId="0" fontId="6" fillId="5" borderId="1" xfId="0" applyFont="1" applyFill="1" applyBorder="1" applyAlignment="1">
      <alignment horizontal="center" vertical="center"/>
    </xf>
    <xf numFmtId="182" fontId="4" fillId="0" borderId="1" xfId="0" applyNumberFormat="1" applyFont="1" applyBorder="1" applyAlignment="1">
      <alignment vertical="center" shrinkToFit="1"/>
    </xf>
    <xf numFmtId="182" fontId="4" fillId="0" borderId="1" xfId="0" applyNumberFormat="1" applyFont="1" applyBorder="1">
      <alignment vertical="center"/>
    </xf>
    <xf numFmtId="182" fontId="4" fillId="0" borderId="1" xfId="0" applyNumberFormat="1" applyFont="1" applyBorder="1" applyAlignment="1">
      <alignment horizontal="center" vertical="center" shrinkToFit="1"/>
    </xf>
    <xf numFmtId="184" fontId="4" fillId="0" borderId="1" xfId="0" applyNumberFormat="1" applyFont="1" applyBorder="1" applyAlignment="1">
      <alignment vertical="center" shrinkToFit="1"/>
    </xf>
    <xf numFmtId="185" fontId="4" fillId="0" borderId="1" xfId="0" applyNumberFormat="1" applyFont="1" applyBorder="1" applyAlignment="1">
      <alignment vertical="center" shrinkToFit="1"/>
    </xf>
    <xf numFmtId="186" fontId="0" fillId="2" borderId="11" xfId="0" applyNumberFormat="1" applyFill="1" applyBorder="1">
      <alignment vertical="center"/>
    </xf>
    <xf numFmtId="186" fontId="0" fillId="2" borderId="12" xfId="0" applyNumberFormat="1" applyFill="1" applyBorder="1">
      <alignment vertical="center"/>
    </xf>
    <xf numFmtId="186" fontId="6" fillId="0" borderId="0" xfId="0" applyNumberFormat="1" applyFont="1">
      <alignment vertical="center"/>
    </xf>
    <xf numFmtId="4" fontId="6" fillId="0" borderId="0" xfId="0" applyNumberFormat="1" applyFont="1">
      <alignment vertical="center"/>
    </xf>
    <xf numFmtId="0" fontId="8" fillId="0" borderId="33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textRotation="255"/>
    </xf>
    <xf numFmtId="0" fontId="8" fillId="7" borderId="7" xfId="0" applyFont="1" applyFill="1" applyBorder="1" applyAlignment="1">
      <alignment horizontal="center" vertical="center" textRotation="255"/>
    </xf>
    <xf numFmtId="0" fontId="8" fillId="4" borderId="1" xfId="0" applyFont="1" applyFill="1" applyBorder="1" applyAlignment="1">
      <alignment horizontal="center" vertical="center" textRotation="255"/>
    </xf>
    <xf numFmtId="0" fontId="11" fillId="4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B6024-E81B-AE48-A1DF-D6B58B7E91F9}">
  <sheetPr>
    <tabColor rgb="FFC00000"/>
  </sheetPr>
  <dimension ref="A1:AN41"/>
  <sheetViews>
    <sheetView tabSelected="1" view="pageLayout" zoomScaleNormal="120" workbookViewId="0">
      <selection activeCell="R15" sqref="R15"/>
    </sheetView>
  </sheetViews>
  <sheetFormatPr baseColWidth="10" defaultRowHeight="20"/>
  <cols>
    <col min="1" max="1" width="1" customWidth="1"/>
    <col min="2" max="2" width="2.42578125" style="4" customWidth="1"/>
    <col min="3" max="3" width="8.85546875" style="2" customWidth="1"/>
    <col min="4" max="4" width="13.28515625" style="5" customWidth="1"/>
    <col min="5" max="5" width="8.28515625" customWidth="1"/>
    <col min="6" max="6" width="7.42578125" customWidth="1"/>
    <col min="7" max="7" width="27.140625" customWidth="1"/>
    <col min="8" max="9" width="6.85546875" customWidth="1"/>
    <col min="10" max="11" width="5" hidden="1" customWidth="1"/>
    <col min="12" max="12" width="3.85546875" customWidth="1"/>
    <col min="13" max="13" width="4" style="65" hidden="1" customWidth="1"/>
    <col min="14" max="14" width="4" style="51" hidden="1" customWidth="1"/>
    <col min="15" max="15" width="4" style="4" hidden="1" customWidth="1"/>
    <col min="16" max="16" width="1" style="4" customWidth="1"/>
    <col min="17" max="17" width="2.42578125" customWidth="1"/>
    <col min="18" max="20" width="7.140625" customWidth="1"/>
    <col min="21" max="21" width="5.28515625" customWidth="1"/>
    <col min="22" max="22" width="2.5703125" customWidth="1"/>
    <col min="23" max="23" width="7.28515625" customWidth="1"/>
    <col min="24" max="24" width="7.28515625" style="2" customWidth="1"/>
    <col min="25" max="25" width="6.42578125" style="2" customWidth="1"/>
    <col min="26" max="26" width="7.28515625" style="2" customWidth="1"/>
    <col min="27" max="27" width="7.28515625" customWidth="1"/>
    <col min="28" max="28" width="6.42578125" style="27" customWidth="1"/>
    <col min="29" max="29" width="7.85546875" customWidth="1"/>
    <col min="30" max="30" width="6.85546875" style="27" customWidth="1"/>
    <col min="31" max="31" width="6.28515625" style="27" customWidth="1"/>
    <col min="32" max="32" width="1.28515625" style="2" customWidth="1"/>
    <col min="33" max="33" width="11" customWidth="1"/>
    <col min="34" max="34" width="12.140625" customWidth="1"/>
    <col min="35" max="35" width="7" customWidth="1"/>
    <col min="36" max="36" width="1.85546875" customWidth="1"/>
    <col min="37" max="40" width="4" customWidth="1"/>
  </cols>
  <sheetData>
    <row r="1" spans="2:40" ht="17" customHeight="1">
      <c r="B1" s="1" t="s">
        <v>62</v>
      </c>
      <c r="D1" s="1"/>
      <c r="M1" s="18"/>
      <c r="W1" t="s">
        <v>66</v>
      </c>
      <c r="X1" s="21" t="s">
        <v>90</v>
      </c>
      <c r="AA1" s="41" t="s">
        <v>91</v>
      </c>
    </row>
    <row r="2" spans="2:40" ht="17" customHeight="1" thickBot="1">
      <c r="B2" s="1"/>
      <c r="D2" s="1"/>
      <c r="E2" s="93"/>
      <c r="F2" s="93"/>
      <c r="H2" s="100" t="s">
        <v>111</v>
      </c>
      <c r="I2" s="101"/>
      <c r="M2" s="18"/>
      <c r="X2" s="21"/>
      <c r="AA2" s="41"/>
    </row>
    <row r="3" spans="2:40" s="3" customFormat="1" ht="27" customHeight="1" thickTop="1">
      <c r="B3" s="135" t="s">
        <v>28</v>
      </c>
      <c r="C3" s="135"/>
      <c r="D3" s="136"/>
      <c r="E3" s="113" t="s">
        <v>135</v>
      </c>
      <c r="F3" s="114"/>
      <c r="G3" s="87" t="s">
        <v>106</v>
      </c>
      <c r="H3" s="99" t="s">
        <v>107</v>
      </c>
      <c r="I3" s="99" t="s">
        <v>108</v>
      </c>
      <c r="J3" s="33" t="s">
        <v>77</v>
      </c>
      <c r="K3" s="33" t="s">
        <v>78</v>
      </c>
      <c r="L3" s="115" t="s">
        <v>109</v>
      </c>
      <c r="M3" s="146" t="s">
        <v>79</v>
      </c>
      <c r="N3" s="146"/>
      <c r="O3" s="52" t="s">
        <v>24</v>
      </c>
      <c r="P3" s="125"/>
      <c r="Q3" s="145" t="s">
        <v>162</v>
      </c>
      <c r="R3" s="143" t="s">
        <v>163</v>
      </c>
      <c r="S3" s="144"/>
      <c r="T3" s="144"/>
      <c r="U3" s="144"/>
      <c r="W3" s="33" t="s">
        <v>87</v>
      </c>
      <c r="X3" s="69" t="s">
        <v>93</v>
      </c>
      <c r="Y3" s="25" t="s">
        <v>63</v>
      </c>
      <c r="Z3" s="70" t="s">
        <v>88</v>
      </c>
      <c r="AA3" s="71" t="s">
        <v>94</v>
      </c>
      <c r="AB3" s="70" t="s">
        <v>83</v>
      </c>
      <c r="AD3" s="24" t="s">
        <v>42</v>
      </c>
      <c r="AE3" s="45" t="s">
        <v>92</v>
      </c>
      <c r="AF3" s="2"/>
      <c r="AG3" s="29" t="s">
        <v>84</v>
      </c>
      <c r="AH3" s="29" t="s">
        <v>85</v>
      </c>
      <c r="AI3" s="29" t="s">
        <v>86</v>
      </c>
      <c r="AJ3"/>
      <c r="AK3" s="26" t="s">
        <v>81</v>
      </c>
      <c r="AL3" s="23" t="s">
        <v>67</v>
      </c>
      <c r="AM3" s="26" t="s">
        <v>82</v>
      </c>
      <c r="AN3" s="23" t="s">
        <v>67</v>
      </c>
    </row>
    <row r="4" spans="2:40" ht="32" customHeight="1">
      <c r="B4" s="131" t="s">
        <v>25</v>
      </c>
      <c r="C4" s="132"/>
      <c r="D4" s="79" t="s">
        <v>26</v>
      </c>
      <c r="E4" s="103"/>
      <c r="F4" s="91" t="s">
        <v>101</v>
      </c>
      <c r="G4" s="88" t="s">
        <v>138</v>
      </c>
      <c r="H4" s="94" t="s">
        <v>110</v>
      </c>
      <c r="I4" s="94" t="s">
        <v>145</v>
      </c>
      <c r="J4" s="75">
        <f t="shared" ref="J4:J21" si="0">E4*AH4+AI4</f>
        <v>5.0544636076989207</v>
      </c>
      <c r="K4" s="76" t="str">
        <f>VLOOKUP(J4,AM4:AN12,2,1)</f>
        <v>C</v>
      </c>
      <c r="L4" s="105">
        <f>J4*32</f>
        <v>161.74283544636546</v>
      </c>
      <c r="M4" s="147" t="s">
        <v>23</v>
      </c>
      <c r="N4" s="147"/>
      <c r="O4" s="148">
        <v>100</v>
      </c>
      <c r="P4" s="112"/>
      <c r="Q4" s="145"/>
      <c r="R4" s="144"/>
      <c r="S4" s="144"/>
      <c r="T4" s="144"/>
      <c r="U4" s="144"/>
      <c r="W4" s="116">
        <v>26208</v>
      </c>
      <c r="X4" s="72">
        <f>W4/50</f>
        <v>524.16</v>
      </c>
      <c r="Y4" s="36" t="s">
        <v>89</v>
      </c>
      <c r="Z4" s="118">
        <v>158339</v>
      </c>
      <c r="AA4" s="119">
        <f>Z4/AE4</f>
        <v>1107.2657342657342</v>
      </c>
      <c r="AB4" s="36" t="s">
        <v>33</v>
      </c>
      <c r="AD4" s="32" t="s">
        <v>43</v>
      </c>
      <c r="AE4" s="35">
        <v>143</v>
      </c>
      <c r="AG4" s="42">
        <f>AA4-X4</f>
        <v>583.10573426573421</v>
      </c>
      <c r="AH4" s="43">
        <f>50/AG4</f>
        <v>8.57477418961788E-2</v>
      </c>
      <c r="AI4" s="42">
        <f>100-AA4*AH4</f>
        <v>5.0544636076989207</v>
      </c>
      <c r="AK4" s="13">
        <v>0</v>
      </c>
      <c r="AL4" s="13" t="s">
        <v>68</v>
      </c>
      <c r="AM4" s="13">
        <v>0</v>
      </c>
      <c r="AN4" s="13" t="s">
        <v>68</v>
      </c>
    </row>
    <row r="5" spans="2:40" ht="27" customHeight="1">
      <c r="B5" s="139" t="s">
        <v>6</v>
      </c>
      <c r="C5" s="140" t="s">
        <v>5</v>
      </c>
      <c r="D5" s="80" t="s">
        <v>136</v>
      </c>
      <c r="E5" s="103"/>
      <c r="F5" s="91" t="s">
        <v>137</v>
      </c>
      <c r="G5" s="128" t="s">
        <v>139</v>
      </c>
      <c r="H5" s="95" t="s">
        <v>112</v>
      </c>
      <c r="I5" s="95" t="s">
        <v>124</v>
      </c>
      <c r="J5" s="77">
        <f t="shared" si="0"/>
        <v>49.677975742674171</v>
      </c>
      <c r="K5" s="76" t="str">
        <f>VLOOKUP(J5,AM4:AN12,2,1)</f>
        <v>B</v>
      </c>
      <c r="L5" s="105">
        <f>J5*4</f>
        <v>198.71190297069668</v>
      </c>
      <c r="M5" s="147" t="s">
        <v>18</v>
      </c>
      <c r="N5" s="147">
        <v>32</v>
      </c>
      <c r="O5" s="149"/>
      <c r="P5" s="112"/>
      <c r="Q5" s="145"/>
      <c r="R5" s="144"/>
      <c r="S5" s="144"/>
      <c r="T5" s="144"/>
      <c r="U5" s="144"/>
      <c r="W5" s="116">
        <v>108</v>
      </c>
      <c r="X5" s="73">
        <f>W5/AE8</f>
        <v>4.9225159525979943E-4</v>
      </c>
      <c r="Y5" s="36" t="s">
        <v>35</v>
      </c>
      <c r="Z5" s="118">
        <v>1</v>
      </c>
      <c r="AA5" s="73">
        <f>Z5/AE5</f>
        <v>7.6923076923076927E-2</v>
      </c>
      <c r="AB5" s="36" t="s">
        <v>38</v>
      </c>
      <c r="AD5" s="32" t="s">
        <v>36</v>
      </c>
      <c r="AE5" s="35">
        <v>13</v>
      </c>
      <c r="AG5" s="43">
        <f>AA5-X5</f>
        <v>7.6430825327817128E-2</v>
      </c>
      <c r="AH5" s="42">
        <f t="shared" ref="AH5:AH15" si="1">50/AG5</f>
        <v>654.1863153452357</v>
      </c>
      <c r="AI5" s="42">
        <f t="shared" ref="AI5:AI13" si="2">100-AA5*AH5</f>
        <v>49.677975742674171</v>
      </c>
      <c r="AK5" s="13">
        <v>2001</v>
      </c>
      <c r="AL5" s="13" t="s">
        <v>69</v>
      </c>
      <c r="AM5" s="13">
        <v>21</v>
      </c>
      <c r="AN5" s="13" t="s">
        <v>69</v>
      </c>
    </row>
    <row r="6" spans="2:40" ht="27" customHeight="1">
      <c r="B6" s="139"/>
      <c r="C6" s="140"/>
      <c r="D6" s="81" t="s">
        <v>8</v>
      </c>
      <c r="E6" s="103"/>
      <c r="F6" s="91" t="s">
        <v>102</v>
      </c>
      <c r="G6" s="129"/>
      <c r="H6" s="96" t="s">
        <v>113</v>
      </c>
      <c r="I6" s="96" t="s">
        <v>125</v>
      </c>
      <c r="J6" s="77">
        <f t="shared" si="0"/>
        <v>49.625374227136653</v>
      </c>
      <c r="K6" s="76" t="str">
        <f>VLOOKUP(J6,AM4:AN12,2,1)</f>
        <v>B</v>
      </c>
      <c r="L6" s="105">
        <f>J6*4</f>
        <v>198.50149690854661</v>
      </c>
      <c r="M6" s="147"/>
      <c r="N6" s="147"/>
      <c r="O6" s="149"/>
      <c r="P6" s="112"/>
      <c r="Q6" s="145"/>
      <c r="R6" s="144"/>
      <c r="S6" s="144"/>
      <c r="T6" s="144"/>
      <c r="U6" s="144"/>
      <c r="W6" s="116">
        <v>74245</v>
      </c>
      <c r="X6" s="40">
        <f>W6/AE8</f>
        <v>0.33840018231540564</v>
      </c>
      <c r="Y6" s="36" t="s">
        <v>47</v>
      </c>
      <c r="Z6" s="118">
        <v>6507</v>
      </c>
      <c r="AA6" s="40">
        <f>Z6/AE4</f>
        <v>45.503496503496507</v>
      </c>
      <c r="AB6" s="36" t="s">
        <v>39</v>
      </c>
      <c r="AD6" s="32" t="s">
        <v>40</v>
      </c>
      <c r="AE6" s="35">
        <v>96</v>
      </c>
      <c r="AG6" s="42">
        <f>AA6-X6</f>
        <v>45.165096321181103</v>
      </c>
      <c r="AH6" s="42">
        <f t="shared" si="1"/>
        <v>1.1070495597847638</v>
      </c>
      <c r="AI6" s="42">
        <f t="shared" si="2"/>
        <v>49.625374227136653</v>
      </c>
      <c r="AK6" s="13">
        <v>3001</v>
      </c>
      <c r="AL6" s="13" t="s">
        <v>70</v>
      </c>
      <c r="AM6" s="13">
        <v>31</v>
      </c>
      <c r="AN6" s="13" t="s">
        <v>70</v>
      </c>
    </row>
    <row r="7" spans="2:40" ht="27" customHeight="1">
      <c r="B7" s="139"/>
      <c r="C7" s="140"/>
      <c r="D7" s="80" t="s">
        <v>9</v>
      </c>
      <c r="E7" s="103"/>
      <c r="F7" s="91" t="s">
        <v>101</v>
      </c>
      <c r="G7" s="129"/>
      <c r="H7" s="96" t="s">
        <v>114</v>
      </c>
      <c r="I7" s="96" t="s">
        <v>126</v>
      </c>
      <c r="J7" s="77">
        <f t="shared" si="0"/>
        <v>48.472869873914064</v>
      </c>
      <c r="K7" s="76" t="str">
        <f>VLOOKUP(J7,AM4:AN12,2,1)</f>
        <v>B</v>
      </c>
      <c r="L7" s="105">
        <f>J7*4</f>
        <v>193.89147949565626</v>
      </c>
      <c r="M7" s="147"/>
      <c r="N7" s="147"/>
      <c r="O7" s="149"/>
      <c r="P7" s="112"/>
      <c r="Q7" s="145"/>
      <c r="R7" s="144"/>
      <c r="S7" s="144"/>
      <c r="T7" s="144"/>
      <c r="U7" s="144"/>
      <c r="W7" s="116">
        <v>1236465</v>
      </c>
      <c r="X7" s="74">
        <f>W7/AE8</f>
        <v>5.6356654512306292</v>
      </c>
      <c r="Y7" s="36" t="s">
        <v>34</v>
      </c>
      <c r="Z7" s="118">
        <v>2472</v>
      </c>
      <c r="AA7" s="40">
        <f>Z7/AE5</f>
        <v>190.15384615384616</v>
      </c>
      <c r="AB7" s="36" t="s">
        <v>37</v>
      </c>
      <c r="AD7" s="37" t="s">
        <v>61</v>
      </c>
      <c r="AE7" s="38">
        <v>120</v>
      </c>
      <c r="AG7" s="42">
        <f>AA7-X7</f>
        <v>184.51818070261552</v>
      </c>
      <c r="AH7" s="42">
        <f t="shared" si="1"/>
        <v>0.27097600794462667</v>
      </c>
      <c r="AI7" s="42">
        <f t="shared" si="2"/>
        <v>48.472869873914064</v>
      </c>
      <c r="AK7" s="13">
        <v>4001</v>
      </c>
      <c r="AL7" s="13" t="s">
        <v>71</v>
      </c>
      <c r="AM7" s="13">
        <v>41</v>
      </c>
      <c r="AN7" s="13" t="s">
        <v>71</v>
      </c>
    </row>
    <row r="8" spans="2:40" ht="27" customHeight="1">
      <c r="B8" s="139"/>
      <c r="C8" s="140"/>
      <c r="D8" s="80" t="s">
        <v>4</v>
      </c>
      <c r="E8" s="103"/>
      <c r="F8" s="91" t="s">
        <v>103</v>
      </c>
      <c r="G8" s="130"/>
      <c r="H8" s="96" t="s">
        <v>115</v>
      </c>
      <c r="I8" s="96" t="s">
        <v>127</v>
      </c>
      <c r="J8" s="77">
        <f t="shared" si="0"/>
        <v>47.004362771458574</v>
      </c>
      <c r="K8" s="76" t="str">
        <f>VLOOKUP(J8,AM4:AN12,2,1)</f>
        <v>B</v>
      </c>
      <c r="L8" s="105">
        <f>J8*4</f>
        <v>188.0174510858343</v>
      </c>
      <c r="M8" s="147"/>
      <c r="N8" s="147"/>
      <c r="O8" s="149"/>
      <c r="P8" s="55"/>
      <c r="Q8" s="21"/>
      <c r="R8" s="111"/>
      <c r="S8" s="111"/>
      <c r="T8" s="111"/>
      <c r="U8" s="111"/>
      <c r="W8" s="116">
        <v>9043</v>
      </c>
      <c r="X8" s="74">
        <f>W8/AE8</f>
        <v>4.1216955332725617E-2</v>
      </c>
      <c r="Y8" s="36" t="s">
        <v>34</v>
      </c>
      <c r="Z8" s="118">
        <v>70</v>
      </c>
      <c r="AA8" s="40">
        <f>Z8/AE6</f>
        <v>0.72916666666666663</v>
      </c>
      <c r="AB8" s="36" t="s">
        <v>40</v>
      </c>
      <c r="AD8" s="35" t="s">
        <v>35</v>
      </c>
      <c r="AE8" s="39">
        <v>219400</v>
      </c>
      <c r="AG8" s="42">
        <f>AA8-X8</f>
        <v>0.68794971133394101</v>
      </c>
      <c r="AH8" s="42">
        <f t="shared" si="1"/>
        <v>72.679731056285391</v>
      </c>
      <c r="AI8" s="42">
        <f t="shared" si="2"/>
        <v>47.004362771458574</v>
      </c>
      <c r="AK8" s="13">
        <v>5001</v>
      </c>
      <c r="AL8" s="13" t="s">
        <v>72</v>
      </c>
      <c r="AM8" s="13">
        <v>51</v>
      </c>
      <c r="AN8" s="13" t="s">
        <v>72</v>
      </c>
    </row>
    <row r="9" spans="2:40" ht="32" customHeight="1">
      <c r="B9" s="139"/>
      <c r="C9" s="78" t="s">
        <v>27</v>
      </c>
      <c r="D9" s="82" t="s">
        <v>17</v>
      </c>
      <c r="E9" s="106"/>
      <c r="F9" s="91" t="s">
        <v>45</v>
      </c>
      <c r="G9" s="89" t="s">
        <v>140</v>
      </c>
      <c r="H9" s="97" t="s">
        <v>146</v>
      </c>
      <c r="I9" s="97" t="s">
        <v>147</v>
      </c>
      <c r="J9" s="77">
        <f t="shared" si="0"/>
        <v>40.974293241394932</v>
      </c>
      <c r="K9" s="76" t="str">
        <f>VLOOKUP(J9,AM4:AN12,2,1)</f>
        <v>CCC</v>
      </c>
      <c r="L9" s="105">
        <f>J9*16</f>
        <v>655.58869186231891</v>
      </c>
      <c r="M9" s="53" t="s">
        <v>19</v>
      </c>
      <c r="N9" s="147"/>
      <c r="O9" s="149"/>
      <c r="P9" s="55"/>
      <c r="Q9" s="21"/>
      <c r="R9" s="67"/>
      <c r="S9" s="67"/>
      <c r="T9" s="67"/>
      <c r="W9" s="116">
        <v>455724</v>
      </c>
      <c r="X9" s="117">
        <v>455724</v>
      </c>
      <c r="Y9" s="36" t="s">
        <v>46</v>
      </c>
      <c r="Z9" s="116">
        <v>2980313</v>
      </c>
      <c r="AA9" s="116">
        <v>2980313</v>
      </c>
      <c r="AB9" s="36" t="s">
        <v>36</v>
      </c>
      <c r="AD9" s="48" t="s">
        <v>98</v>
      </c>
      <c r="AE9" s="27">
        <v>50</v>
      </c>
      <c r="AG9" s="42">
        <f>Z9-W9</f>
        <v>2524589</v>
      </c>
      <c r="AH9" s="42">
        <f t="shared" si="1"/>
        <v>1.9805203936165451E-5</v>
      </c>
      <c r="AI9" s="42">
        <f>100-Z9*AH9</f>
        <v>40.974293241394932</v>
      </c>
      <c r="AK9" s="13">
        <v>6001</v>
      </c>
      <c r="AL9" s="13" t="s">
        <v>73</v>
      </c>
      <c r="AM9" s="13">
        <v>61</v>
      </c>
      <c r="AN9" s="13" t="s">
        <v>73</v>
      </c>
    </row>
    <row r="10" spans="2:40" ht="27" customHeight="1">
      <c r="B10" s="137" t="s">
        <v>7</v>
      </c>
      <c r="C10" s="141" t="s">
        <v>14</v>
      </c>
      <c r="D10" s="83" t="s">
        <v>32</v>
      </c>
      <c r="E10" s="103"/>
      <c r="F10" s="91" t="s">
        <v>134</v>
      </c>
      <c r="G10" s="128" t="s">
        <v>141</v>
      </c>
      <c r="H10" s="97" t="s">
        <v>148</v>
      </c>
      <c r="I10" s="97" t="s">
        <v>149</v>
      </c>
      <c r="J10" s="77">
        <f t="shared" si="0"/>
        <v>49.755721938844779</v>
      </c>
      <c r="K10" s="76" t="str">
        <f>VLOOKUP(J10,AM4:AN12,2,1)</f>
        <v>B</v>
      </c>
      <c r="L10" s="105">
        <f t="shared" ref="L10:L21" si="3">J10*3</f>
        <v>149.26716581653434</v>
      </c>
      <c r="M10" s="147" t="s">
        <v>20</v>
      </c>
      <c r="N10" s="147">
        <v>36</v>
      </c>
      <c r="O10" s="149"/>
      <c r="P10" s="55"/>
      <c r="Q10" s="21"/>
      <c r="R10" s="67"/>
      <c r="S10" s="67"/>
      <c r="T10" s="67"/>
      <c r="U10" s="4"/>
      <c r="W10" s="116">
        <v>10298639</v>
      </c>
      <c r="X10" s="116">
        <f>W10*1000000/AE8</f>
        <v>46940013.673655421</v>
      </c>
      <c r="Y10" s="36" t="s">
        <v>34</v>
      </c>
      <c r="Z10" s="118">
        <v>125513</v>
      </c>
      <c r="AA10" s="116">
        <f>Z10*1000000/AE5</f>
        <v>9654846153.8461533</v>
      </c>
      <c r="AB10" s="36" t="s">
        <v>36</v>
      </c>
      <c r="AD10" s="49" t="s">
        <v>97</v>
      </c>
      <c r="AE10" s="124">
        <v>2194.0300000000002</v>
      </c>
      <c r="AG10" s="42">
        <f>AA10-X10</f>
        <v>9607906140.1724987</v>
      </c>
      <c r="AH10" s="42">
        <f t="shared" si="1"/>
        <v>5.2040475073898158E-9</v>
      </c>
      <c r="AI10" s="42">
        <f t="shared" si="2"/>
        <v>49.755721938844779</v>
      </c>
      <c r="AK10" s="13">
        <v>7001</v>
      </c>
      <c r="AL10" s="13" t="s">
        <v>74</v>
      </c>
      <c r="AM10" s="13">
        <v>71</v>
      </c>
      <c r="AN10" s="13" t="s">
        <v>74</v>
      </c>
    </row>
    <row r="11" spans="2:40" ht="27" customHeight="1">
      <c r="B11" s="137"/>
      <c r="C11" s="141"/>
      <c r="D11" s="83" t="s">
        <v>1</v>
      </c>
      <c r="E11" s="103"/>
      <c r="F11" s="91" t="s">
        <v>104</v>
      </c>
      <c r="G11" s="129"/>
      <c r="H11" s="96" t="s">
        <v>116</v>
      </c>
      <c r="I11" s="96" t="s">
        <v>150</v>
      </c>
      <c r="J11" s="77">
        <f t="shared" si="0"/>
        <v>49.750963339801537</v>
      </c>
      <c r="K11" s="76" t="str">
        <f>VLOOKUP(J11,AM4:AN12,2,1)</f>
        <v>B</v>
      </c>
      <c r="L11" s="105">
        <f t="shared" si="3"/>
        <v>149.25289001940462</v>
      </c>
      <c r="M11" s="147"/>
      <c r="N11" s="147"/>
      <c r="O11" s="149"/>
      <c r="P11" s="55"/>
      <c r="Q11" s="21"/>
      <c r="R11" s="67"/>
      <c r="S11" s="67"/>
      <c r="T11" s="67"/>
      <c r="U11" s="3"/>
      <c r="W11" s="116">
        <v>6863063</v>
      </c>
      <c r="X11" s="74">
        <f>W11/AE8</f>
        <v>31.28105287146764</v>
      </c>
      <c r="Y11" s="36" t="s">
        <v>34</v>
      </c>
      <c r="Z11" s="118">
        <v>82052</v>
      </c>
      <c r="AA11" s="120">
        <f>Z11/AE5</f>
        <v>6311.6923076923076</v>
      </c>
      <c r="AB11" s="36" t="s">
        <v>36</v>
      </c>
      <c r="AD11" s="49" t="s">
        <v>95</v>
      </c>
      <c r="AE11" s="123">
        <v>14047594</v>
      </c>
      <c r="AG11" s="42">
        <f>AA11-X11</f>
        <v>6280.4112548208395</v>
      </c>
      <c r="AH11" s="42">
        <f t="shared" si="1"/>
        <v>7.9612620848069516E-3</v>
      </c>
      <c r="AI11" s="42">
        <f t="shared" si="2"/>
        <v>49.750963339801537</v>
      </c>
      <c r="AK11" s="13">
        <v>8001</v>
      </c>
      <c r="AL11" s="13" t="s">
        <v>75</v>
      </c>
      <c r="AM11" s="13">
        <v>81</v>
      </c>
      <c r="AN11" s="13" t="s">
        <v>75</v>
      </c>
    </row>
    <row r="12" spans="2:40" ht="27" customHeight="1">
      <c r="B12" s="137"/>
      <c r="C12" s="141"/>
      <c r="D12" s="83" t="s">
        <v>2</v>
      </c>
      <c r="E12" s="103"/>
      <c r="F12" s="91" t="s">
        <v>105</v>
      </c>
      <c r="G12" s="129"/>
      <c r="H12" s="96" t="s">
        <v>117</v>
      </c>
      <c r="I12" s="96" t="s">
        <v>128</v>
      </c>
      <c r="J12" s="77">
        <f t="shared" si="0"/>
        <v>49.224022115587111</v>
      </c>
      <c r="K12" s="76" t="str">
        <f>VLOOKUP(J12,AM4:AN12,2,1)</f>
        <v>B</v>
      </c>
      <c r="L12" s="105">
        <f t="shared" si="3"/>
        <v>147.67206634676134</v>
      </c>
      <c r="M12" s="147"/>
      <c r="N12" s="147"/>
      <c r="O12" s="149"/>
      <c r="P12" s="55"/>
      <c r="Q12" s="21"/>
      <c r="R12" s="67"/>
      <c r="S12" s="67"/>
      <c r="T12" s="67"/>
      <c r="U12" s="51"/>
      <c r="W12" s="116">
        <v>202260</v>
      </c>
      <c r="X12" s="74">
        <f>W12/AE8</f>
        <v>0.92187784867821332</v>
      </c>
      <c r="Y12" s="36" t="s">
        <v>34</v>
      </c>
      <c r="Z12" s="118">
        <v>5791</v>
      </c>
      <c r="AA12" s="40">
        <f>Z12/AE6</f>
        <v>60.322916666666664</v>
      </c>
      <c r="AB12" s="36" t="s">
        <v>41</v>
      </c>
      <c r="AD12" s="2"/>
      <c r="AE12" s="2"/>
      <c r="AG12" s="42">
        <f>AA12-X12</f>
        <v>59.40103881798845</v>
      </c>
      <c r="AH12" s="42">
        <f t="shared" si="1"/>
        <v>0.84173612103326501</v>
      </c>
      <c r="AI12" s="42">
        <f t="shared" si="2"/>
        <v>49.224022115587111</v>
      </c>
      <c r="AK12" s="13">
        <v>9001</v>
      </c>
      <c r="AL12" s="13" t="s">
        <v>76</v>
      </c>
      <c r="AM12" s="13">
        <v>91</v>
      </c>
      <c r="AN12" s="13" t="s">
        <v>76</v>
      </c>
    </row>
    <row r="13" spans="2:40" ht="27" customHeight="1">
      <c r="B13" s="137"/>
      <c r="C13" s="141"/>
      <c r="D13" s="83" t="s">
        <v>0</v>
      </c>
      <c r="E13" s="103"/>
      <c r="F13" s="91" t="s">
        <v>104</v>
      </c>
      <c r="G13" s="129"/>
      <c r="H13" s="96" t="s">
        <v>118</v>
      </c>
      <c r="I13" s="96" t="s">
        <v>151</v>
      </c>
      <c r="J13" s="77">
        <f t="shared" si="0"/>
        <v>21.86488180193686</v>
      </c>
      <c r="K13" s="76" t="str">
        <f>VLOOKUP(J13,AM4:AN12,2,1)</f>
        <v>CC</v>
      </c>
      <c r="L13" s="105">
        <f t="shared" si="3"/>
        <v>65.594645405810581</v>
      </c>
      <c r="M13" s="147"/>
      <c r="N13" s="147"/>
      <c r="O13" s="149"/>
      <c r="P13" s="55"/>
      <c r="Q13" s="21"/>
      <c r="R13" s="67"/>
      <c r="S13" s="67"/>
      <c r="T13" s="67"/>
      <c r="U13" s="44"/>
      <c r="W13" s="116">
        <v>80582227</v>
      </c>
      <c r="X13" s="74">
        <f>W13/AE8</f>
        <v>367.28453509571557</v>
      </c>
      <c r="Y13" s="36" t="s">
        <v>34</v>
      </c>
      <c r="Z13" s="118">
        <v>97920</v>
      </c>
      <c r="AA13" s="120">
        <f>Z13/AE6</f>
        <v>1020</v>
      </c>
      <c r="AB13" s="36" t="s">
        <v>40</v>
      </c>
      <c r="AD13" s="2"/>
      <c r="AE13" s="2"/>
      <c r="AG13" s="42">
        <f>AA13-X13</f>
        <v>652.71546490428443</v>
      </c>
      <c r="AH13" s="42">
        <f t="shared" si="1"/>
        <v>7.6603057056924648E-2</v>
      </c>
      <c r="AI13" s="42">
        <f t="shared" si="2"/>
        <v>21.86488180193686</v>
      </c>
    </row>
    <row r="14" spans="2:40" ht="27" customHeight="1">
      <c r="B14" s="137"/>
      <c r="C14" s="141"/>
      <c r="D14" s="83" t="s">
        <v>3</v>
      </c>
      <c r="E14" s="103"/>
      <c r="F14" s="91" t="s">
        <v>101</v>
      </c>
      <c r="G14" s="130"/>
      <c r="H14" s="96" t="s">
        <v>119</v>
      </c>
      <c r="I14" s="96" t="s">
        <v>129</v>
      </c>
      <c r="J14" s="77">
        <f t="shared" si="0"/>
        <v>48.08238526833059</v>
      </c>
      <c r="K14" s="76" t="str">
        <f>VLOOKUP(J14,AM4:AN12,2,1)</f>
        <v>B</v>
      </c>
      <c r="L14" s="105">
        <f t="shared" si="3"/>
        <v>144.24715580499176</v>
      </c>
      <c r="M14" s="147"/>
      <c r="N14" s="147"/>
      <c r="O14" s="149"/>
      <c r="P14" s="55"/>
      <c r="Q14" s="21"/>
      <c r="R14" s="67"/>
      <c r="S14" s="4"/>
      <c r="T14" s="4"/>
      <c r="W14" s="116">
        <v>899004</v>
      </c>
      <c r="X14" s="74">
        <f>W14/AE8</f>
        <v>4.0975569735642665</v>
      </c>
      <c r="Y14" s="36" t="s">
        <v>47</v>
      </c>
      <c r="Z14" s="118">
        <v>10650</v>
      </c>
      <c r="AA14" s="40">
        <f>Z14/AE6</f>
        <v>110.9375</v>
      </c>
      <c r="AB14" s="36" t="s">
        <v>40</v>
      </c>
      <c r="AC14" s="28" t="s">
        <v>60</v>
      </c>
      <c r="AD14" s="31"/>
      <c r="AE14" s="31"/>
      <c r="AG14" s="42">
        <f>AA14-X14</f>
        <v>106.83994302643573</v>
      </c>
      <c r="AH14" s="42">
        <f t="shared" si="1"/>
        <v>0.46798976659532987</v>
      </c>
      <c r="AI14" s="42">
        <f>100-AA14*AH14</f>
        <v>48.08238526833059</v>
      </c>
    </row>
    <row r="15" spans="2:40" ht="32" customHeight="1">
      <c r="B15" s="137"/>
      <c r="C15" s="141" t="s">
        <v>29</v>
      </c>
      <c r="D15" s="84" t="s">
        <v>31</v>
      </c>
      <c r="E15" s="103"/>
      <c r="F15" s="91" t="s">
        <v>80</v>
      </c>
      <c r="G15" s="90" t="s">
        <v>143</v>
      </c>
      <c r="H15" s="94" t="s">
        <v>120</v>
      </c>
      <c r="I15" s="94" t="s">
        <v>130</v>
      </c>
      <c r="J15" s="77">
        <f t="shared" si="0"/>
        <v>55.235596381705314</v>
      </c>
      <c r="K15" s="76" t="str">
        <f>VLOOKUP(J15,AM4:AN12,2,1)</f>
        <v>BB</v>
      </c>
      <c r="L15" s="105">
        <f t="shared" si="3"/>
        <v>165.70678914511595</v>
      </c>
      <c r="M15" s="147" t="s">
        <v>21</v>
      </c>
      <c r="N15" s="147"/>
      <c r="O15" s="149"/>
      <c r="P15" s="55"/>
      <c r="Q15" s="21"/>
      <c r="R15" s="67"/>
      <c r="S15" s="66"/>
      <c r="T15" s="66"/>
      <c r="W15" s="116">
        <v>65475</v>
      </c>
      <c r="X15" s="72">
        <f>W15/AE10</f>
        <v>29.842344908684016</v>
      </c>
      <c r="Y15" s="36" t="s">
        <v>47</v>
      </c>
      <c r="Z15" s="118">
        <v>3671</v>
      </c>
      <c r="AA15" s="72">
        <f>Z15/11.66</f>
        <v>314.83704974271012</v>
      </c>
      <c r="AB15" s="36" t="s">
        <v>96</v>
      </c>
      <c r="AC15" s="68">
        <v>174.6</v>
      </c>
      <c r="AD15" s="47" t="s">
        <v>40</v>
      </c>
      <c r="AE15" s="2" t="s">
        <v>100</v>
      </c>
      <c r="AG15" s="30">
        <f>X15-AA15</f>
        <v>-284.99470483402609</v>
      </c>
      <c r="AH15" s="30">
        <f t="shared" si="1"/>
        <v>-0.17544185611841023</v>
      </c>
      <c r="AI15" s="42">
        <f>-AA15*AH15</f>
        <v>55.235596381705314</v>
      </c>
      <c r="AJ15" s="50" t="s">
        <v>99</v>
      </c>
    </row>
    <row r="16" spans="2:40" ht="27" customHeight="1">
      <c r="B16" s="137"/>
      <c r="C16" s="141"/>
      <c r="D16" s="85" t="s">
        <v>15</v>
      </c>
      <c r="E16" s="103"/>
      <c r="F16" s="91" t="s">
        <v>49</v>
      </c>
      <c r="G16" s="128" t="s">
        <v>142</v>
      </c>
      <c r="H16" s="94" t="s">
        <v>121</v>
      </c>
      <c r="I16" s="94" t="s">
        <v>131</v>
      </c>
      <c r="J16" s="77">
        <f t="shared" si="0"/>
        <v>-176.27118644067787</v>
      </c>
      <c r="K16" s="76" t="e">
        <f>VLOOKUP(J16,AM4:AN12,2,1)</f>
        <v>#N/A</v>
      </c>
      <c r="L16" s="105">
        <f t="shared" si="3"/>
        <v>-528.8135593220336</v>
      </c>
      <c r="M16" s="147"/>
      <c r="N16" s="147"/>
      <c r="O16" s="149"/>
      <c r="P16" s="55"/>
      <c r="Q16" s="21"/>
      <c r="R16" s="67"/>
      <c r="S16" s="4"/>
      <c r="T16" s="4"/>
      <c r="W16" s="46">
        <v>53.4</v>
      </c>
      <c r="X16" s="46">
        <v>53.4</v>
      </c>
      <c r="Y16" s="36" t="s">
        <v>34</v>
      </c>
      <c r="Z16" s="34">
        <v>65.2</v>
      </c>
      <c r="AA16" s="34">
        <v>65.2</v>
      </c>
      <c r="AB16" s="36" t="s">
        <v>50</v>
      </c>
      <c r="AC16" s="68">
        <v>61.1</v>
      </c>
      <c r="AD16" s="47" t="s">
        <v>44</v>
      </c>
      <c r="AE16" s="2"/>
      <c r="AG16" s="30">
        <f>Z16-W16</f>
        <v>11.800000000000004</v>
      </c>
      <c r="AH16" s="30">
        <f>50/AG16</f>
        <v>4.2372881355932188</v>
      </c>
      <c r="AI16" s="42">
        <f>100-Z16*AH16</f>
        <v>-176.27118644067787</v>
      </c>
    </row>
    <row r="17" spans="1:35" ht="27" customHeight="1">
      <c r="B17" s="137"/>
      <c r="C17" s="141"/>
      <c r="D17" s="82" t="s">
        <v>13</v>
      </c>
      <c r="E17" s="103"/>
      <c r="F17" s="91" t="s">
        <v>48</v>
      </c>
      <c r="G17" s="130"/>
      <c r="H17" s="94" t="s">
        <v>122</v>
      </c>
      <c r="I17" s="94" t="s">
        <v>132</v>
      </c>
      <c r="J17" s="77">
        <f t="shared" si="0"/>
        <v>21.83098591549296</v>
      </c>
      <c r="K17" s="76" t="str">
        <f>VLOOKUP(J17,AM4:AN12,2,1)</f>
        <v>CC</v>
      </c>
      <c r="L17" s="105">
        <f t="shared" si="3"/>
        <v>65.492957746478879</v>
      </c>
      <c r="M17" s="147"/>
      <c r="N17" s="147"/>
      <c r="O17" s="149"/>
      <c r="P17" s="55"/>
      <c r="Q17" s="21"/>
      <c r="R17" s="67"/>
      <c r="S17" s="66"/>
      <c r="T17" s="66"/>
      <c r="W17" s="46">
        <v>4</v>
      </c>
      <c r="X17" s="46">
        <v>4</v>
      </c>
      <c r="Y17" s="36" t="s">
        <v>34</v>
      </c>
      <c r="Z17" s="34">
        <v>11.1</v>
      </c>
      <c r="AA17" s="34">
        <v>11.1</v>
      </c>
      <c r="AB17" s="36" t="s">
        <v>51</v>
      </c>
      <c r="AC17" s="68">
        <v>11.1</v>
      </c>
      <c r="AD17" s="47" t="s">
        <v>40</v>
      </c>
      <c r="AE17" s="2"/>
      <c r="AG17" s="30">
        <f>Z17-W17</f>
        <v>7.1</v>
      </c>
      <c r="AH17" s="30">
        <f>50/AG17</f>
        <v>7.042253521126761</v>
      </c>
      <c r="AI17" s="42">
        <f>100-Z17*AH17</f>
        <v>21.83098591549296</v>
      </c>
    </row>
    <row r="18" spans="1:35" ht="27" customHeight="1">
      <c r="B18" s="137"/>
      <c r="C18" s="141" t="s">
        <v>30</v>
      </c>
      <c r="D18" s="82" t="s">
        <v>10</v>
      </c>
      <c r="E18" s="103"/>
      <c r="F18" s="91" t="s">
        <v>52</v>
      </c>
      <c r="G18" s="133" t="s">
        <v>144</v>
      </c>
      <c r="H18" s="98" t="s">
        <v>152</v>
      </c>
      <c r="I18" s="98" t="s">
        <v>153</v>
      </c>
      <c r="J18" s="77">
        <f t="shared" si="0"/>
        <v>13.441071211404036</v>
      </c>
      <c r="K18" s="76" t="str">
        <f>VLOOKUP(J18,AM4:AN12,2,1)</f>
        <v>C</v>
      </c>
      <c r="L18" s="105">
        <f t="shared" si="3"/>
        <v>40.323213634212109</v>
      </c>
      <c r="M18" s="147" t="s">
        <v>22</v>
      </c>
      <c r="N18" s="147"/>
      <c r="O18" s="149"/>
      <c r="P18" s="55"/>
      <c r="Q18" s="21"/>
      <c r="R18" s="16" t="s">
        <v>159</v>
      </c>
      <c r="W18" s="116">
        <v>1887100397</v>
      </c>
      <c r="X18" s="116">
        <f>W18/AE11*1000</f>
        <v>134336.19999268203</v>
      </c>
      <c r="Y18" s="36" t="s">
        <v>34</v>
      </c>
      <c r="Z18" s="118">
        <v>82850638</v>
      </c>
      <c r="AA18" s="116">
        <f>Z18/260486*1000</f>
        <v>318061.76915458031</v>
      </c>
      <c r="AB18" s="36" t="s">
        <v>53</v>
      </c>
      <c r="AC18" s="121">
        <v>308546</v>
      </c>
      <c r="AD18" s="47" t="s">
        <v>44</v>
      </c>
      <c r="AE18" s="2"/>
      <c r="AG18" s="30">
        <f>AA18-X18</f>
        <v>183725.56916189828</v>
      </c>
      <c r="AH18" s="30">
        <f>50/AG18</f>
        <v>2.7214502710801343E-4</v>
      </c>
      <c r="AI18" s="30">
        <f>100-AA18*AH18</f>
        <v>13.441071211404036</v>
      </c>
    </row>
    <row r="19" spans="1:35" ht="27" customHeight="1" thickBot="1">
      <c r="B19" s="137"/>
      <c r="C19" s="141"/>
      <c r="D19" s="82" t="s">
        <v>16</v>
      </c>
      <c r="E19" s="103"/>
      <c r="F19" s="91" t="s">
        <v>54</v>
      </c>
      <c r="G19" s="134"/>
      <c r="H19" s="98" t="s">
        <v>154</v>
      </c>
      <c r="I19" s="98" t="s">
        <v>155</v>
      </c>
      <c r="J19" s="77">
        <f t="shared" si="0"/>
        <v>19.335553541825874</v>
      </c>
      <c r="K19" s="76" t="str">
        <f>VLOOKUP(J19,AM4:AN12,2,1)</f>
        <v>C</v>
      </c>
      <c r="L19" s="105">
        <f t="shared" si="3"/>
        <v>58.006660625477622</v>
      </c>
      <c r="M19" s="147"/>
      <c r="N19" s="147"/>
      <c r="O19" s="149"/>
      <c r="P19" s="55"/>
      <c r="Q19" s="21"/>
      <c r="R19" s="102" t="s">
        <v>133</v>
      </c>
      <c r="S19" s="3"/>
      <c r="T19" s="3"/>
      <c r="W19" s="116">
        <v>229741105</v>
      </c>
      <c r="X19" s="116">
        <f>W19/AE11*1000</f>
        <v>16354.48070324356</v>
      </c>
      <c r="Y19" s="36" t="s">
        <v>34</v>
      </c>
      <c r="Z19" s="118">
        <v>11206453</v>
      </c>
      <c r="AA19" s="116">
        <f>Z19/260486*1000</f>
        <v>43021.325522292951</v>
      </c>
      <c r="AB19" s="36" t="s">
        <v>55</v>
      </c>
      <c r="AC19" s="121">
        <v>30421</v>
      </c>
      <c r="AD19" s="47" t="s">
        <v>36</v>
      </c>
      <c r="AE19" s="2"/>
      <c r="AG19" s="30">
        <f>AA19-X19</f>
        <v>26666.844819049391</v>
      </c>
      <c r="AH19" s="30">
        <f t="shared" ref="AH19:AH21" si="4">50/AG19</f>
        <v>1.8749874737442741E-3</v>
      </c>
      <c r="AI19" s="30">
        <f t="shared" ref="AI19:AI21" si="5">100-AA19*AH19</f>
        <v>19.335553541825874</v>
      </c>
    </row>
    <row r="20" spans="1:35" ht="27" customHeight="1" thickBot="1">
      <c r="B20" s="137"/>
      <c r="C20" s="141"/>
      <c r="D20" s="82" t="s">
        <v>11</v>
      </c>
      <c r="E20" s="103"/>
      <c r="F20" s="91" t="s">
        <v>56</v>
      </c>
      <c r="G20" s="126" t="s">
        <v>143</v>
      </c>
      <c r="H20" s="98" t="s">
        <v>123</v>
      </c>
      <c r="I20" s="98" t="s">
        <v>156</v>
      </c>
      <c r="J20" s="77">
        <f t="shared" si="0"/>
        <v>45.882273909422217</v>
      </c>
      <c r="K20" s="76" t="str">
        <f>VLOOKUP(J20,AM4:AN12,2,1)</f>
        <v>B</v>
      </c>
      <c r="L20" s="105">
        <f t="shared" si="3"/>
        <v>137.64682172826664</v>
      </c>
      <c r="M20" s="147"/>
      <c r="N20" s="147"/>
      <c r="O20" s="149"/>
      <c r="P20" s="55"/>
      <c r="Q20" s="21"/>
      <c r="R20" s="22" t="s">
        <v>160</v>
      </c>
      <c r="S20" s="107"/>
      <c r="T20" s="110" t="s">
        <v>161</v>
      </c>
      <c r="U20" t="s">
        <v>65</v>
      </c>
      <c r="W20" s="116">
        <v>685615</v>
      </c>
      <c r="X20" s="116">
        <f>W20/AE10</f>
        <v>312.49116921828778</v>
      </c>
      <c r="Y20" s="36" t="s">
        <v>34</v>
      </c>
      <c r="Z20" s="118">
        <v>41932</v>
      </c>
      <c r="AA20" s="116">
        <f>Z20/10.21</f>
        <v>4106.9539666993142</v>
      </c>
      <c r="AB20" s="36" t="s">
        <v>57</v>
      </c>
      <c r="AC20" s="121">
        <v>2969</v>
      </c>
      <c r="AD20" s="47" t="s">
        <v>44</v>
      </c>
      <c r="AE20" s="2"/>
      <c r="AG20" s="30">
        <f>AA20-X20</f>
        <v>3794.4627974810264</v>
      </c>
      <c r="AH20" s="30">
        <f t="shared" si="4"/>
        <v>1.3177095854831613E-2</v>
      </c>
      <c r="AI20" s="30">
        <f t="shared" si="5"/>
        <v>45.882273909422217</v>
      </c>
    </row>
    <row r="21" spans="1:35" ht="27" customHeight="1" thickBot="1">
      <c r="B21" s="138"/>
      <c r="C21" s="142"/>
      <c r="D21" s="86" t="s">
        <v>12</v>
      </c>
      <c r="E21" s="104"/>
      <c r="F21" s="92" t="s">
        <v>58</v>
      </c>
      <c r="G21" s="127"/>
      <c r="H21" s="98" t="s">
        <v>157</v>
      </c>
      <c r="I21" s="98" t="s">
        <v>158</v>
      </c>
      <c r="J21" s="77">
        <f t="shared" si="0"/>
        <v>47.324753781805882</v>
      </c>
      <c r="K21" s="76" t="str">
        <f>VLOOKUP(J21,AM4:AN12,2,1)</f>
        <v>B</v>
      </c>
      <c r="L21" s="105">
        <f t="shared" si="3"/>
        <v>141.97426134541763</v>
      </c>
      <c r="M21" s="147"/>
      <c r="N21" s="147"/>
      <c r="O21" s="150"/>
      <c r="P21" s="55"/>
      <c r="Q21" s="21"/>
      <c r="R21" s="22" t="s">
        <v>64</v>
      </c>
      <c r="S21" s="108" t="str">
        <f>VLOOKUP(S20,AK4:AL12,2,1)</f>
        <v>C</v>
      </c>
      <c r="T21" s="109"/>
      <c r="U21" t="s">
        <v>65</v>
      </c>
      <c r="W21" s="116">
        <v>9005511</v>
      </c>
      <c r="X21" s="116">
        <f>W21/AE10</f>
        <v>4104.5523534318127</v>
      </c>
      <c r="Y21" s="36" t="s">
        <v>34</v>
      </c>
      <c r="Z21" s="118">
        <v>942339</v>
      </c>
      <c r="AA21" s="116">
        <f>Z21/11.66</f>
        <v>80818.096054888505</v>
      </c>
      <c r="AB21" s="36" t="s">
        <v>59</v>
      </c>
      <c r="AC21" s="122">
        <v>80818</v>
      </c>
      <c r="AD21" s="47" t="s">
        <v>44</v>
      </c>
      <c r="AE21" s="2"/>
      <c r="AG21" s="30">
        <f>AA21-X21</f>
        <v>76713.543701456685</v>
      </c>
      <c r="AH21" s="30">
        <f t="shared" si="4"/>
        <v>6.517753917689318E-4</v>
      </c>
      <c r="AI21" s="30">
        <f t="shared" si="5"/>
        <v>47.324753781805882</v>
      </c>
    </row>
    <row r="22" spans="1:35" ht="27" customHeight="1" thickTop="1">
      <c r="B22" s="1"/>
      <c r="D22" s="1"/>
      <c r="M22" s="18"/>
    </row>
    <row r="23" spans="1:35" ht="15" customHeight="1">
      <c r="A23" s="3"/>
      <c r="B23" s="1"/>
      <c r="C23" s="1"/>
      <c r="D23" s="1"/>
      <c r="E23" s="14"/>
      <c r="F23" s="18"/>
      <c r="G23" s="18"/>
      <c r="H23" s="18"/>
      <c r="I23" s="18"/>
      <c r="J23" s="14"/>
      <c r="M23" s="54"/>
      <c r="N23" s="55"/>
      <c r="O23" s="54"/>
      <c r="P23" s="54"/>
    </row>
    <row r="24" spans="1:35">
      <c r="B24" s="19"/>
      <c r="C24" s="18"/>
      <c r="D24" s="6"/>
      <c r="E24" s="16"/>
      <c r="F24" s="1"/>
      <c r="G24" s="1"/>
      <c r="H24" s="1"/>
      <c r="I24" s="1"/>
      <c r="J24" s="16"/>
      <c r="M24" s="56"/>
      <c r="N24" s="57"/>
      <c r="O24" s="58"/>
      <c r="P24" s="58"/>
    </row>
    <row r="25" spans="1:35">
      <c r="B25" s="20"/>
      <c r="C25" s="17"/>
      <c r="D25" s="7"/>
      <c r="E25" s="16"/>
      <c r="F25" s="16"/>
      <c r="G25" s="16"/>
      <c r="H25" s="16"/>
      <c r="I25" s="16"/>
      <c r="J25" s="16"/>
      <c r="M25" s="59"/>
      <c r="N25" s="57"/>
      <c r="O25" s="51"/>
      <c r="P25" s="51"/>
    </row>
    <row r="26" spans="1:35">
      <c r="B26" s="20"/>
      <c r="C26" s="17"/>
      <c r="D26" s="8"/>
      <c r="E26" s="16"/>
      <c r="F26" s="16"/>
      <c r="G26" s="16"/>
      <c r="H26" s="16"/>
      <c r="I26" s="16"/>
      <c r="J26" s="16"/>
      <c r="M26" s="60"/>
      <c r="N26" s="61"/>
      <c r="O26" s="51"/>
      <c r="P26" s="51"/>
    </row>
    <row r="27" spans="1:35">
      <c r="B27" s="20"/>
      <c r="C27" s="17"/>
      <c r="D27" s="7"/>
      <c r="E27" s="16"/>
      <c r="F27" s="16"/>
      <c r="G27" s="16"/>
      <c r="H27" s="16"/>
      <c r="I27" s="16"/>
      <c r="J27" s="16"/>
      <c r="M27" s="60"/>
      <c r="N27" s="61"/>
      <c r="O27" s="51"/>
      <c r="P27" s="51"/>
    </row>
    <row r="28" spans="1:35">
      <c r="B28" s="20"/>
      <c r="C28" s="17"/>
      <c r="D28" s="7"/>
      <c r="E28" s="16"/>
      <c r="F28" s="16"/>
      <c r="G28" s="16"/>
      <c r="H28" s="16"/>
      <c r="I28" s="16"/>
      <c r="J28" s="16"/>
      <c r="M28" s="60"/>
      <c r="N28" s="61"/>
      <c r="O28" s="51"/>
      <c r="P28" s="51"/>
    </row>
    <row r="29" spans="1:35">
      <c r="B29" s="20"/>
      <c r="C29" s="15"/>
      <c r="D29" s="9"/>
      <c r="E29" s="16"/>
      <c r="F29" s="16"/>
      <c r="G29" s="16"/>
      <c r="H29" s="16"/>
      <c r="I29" s="16"/>
      <c r="J29" s="16"/>
      <c r="M29" s="59"/>
      <c r="N29" s="61"/>
      <c r="O29" s="61"/>
      <c r="P29" s="61"/>
    </row>
    <row r="30" spans="1:35">
      <c r="B30" s="20"/>
      <c r="C30" s="17"/>
      <c r="D30" s="10"/>
      <c r="E30" s="16"/>
      <c r="F30" s="16"/>
      <c r="G30" s="16"/>
      <c r="H30" s="16"/>
      <c r="I30" s="16"/>
      <c r="J30" s="16"/>
      <c r="M30" s="59"/>
      <c r="N30" s="61"/>
      <c r="O30" s="62"/>
      <c r="P30" s="62"/>
    </row>
    <row r="31" spans="1:35">
      <c r="B31" s="20"/>
      <c r="C31" s="17"/>
      <c r="D31" s="10"/>
      <c r="E31" s="16"/>
      <c r="F31" s="16"/>
      <c r="G31" s="16"/>
      <c r="H31" s="16"/>
      <c r="I31" s="16"/>
      <c r="J31" s="16"/>
      <c r="M31" s="60"/>
      <c r="N31" s="61"/>
      <c r="O31" s="62"/>
      <c r="P31" s="62"/>
    </row>
    <row r="32" spans="1:35">
      <c r="B32" s="20"/>
      <c r="C32" s="17"/>
      <c r="D32" s="10"/>
      <c r="E32" s="16"/>
      <c r="F32" s="16"/>
      <c r="G32" s="16"/>
      <c r="H32" s="16"/>
      <c r="I32" s="16"/>
      <c r="J32" s="16"/>
      <c r="M32" s="60"/>
      <c r="N32" s="61"/>
      <c r="O32" s="62"/>
      <c r="P32" s="62"/>
    </row>
    <row r="33" spans="2:16">
      <c r="B33" s="20"/>
      <c r="C33" s="17"/>
      <c r="D33" s="10"/>
      <c r="E33" s="16"/>
      <c r="F33" s="16"/>
      <c r="G33" s="16"/>
      <c r="H33" s="16"/>
      <c r="I33" s="16"/>
      <c r="J33" s="16"/>
      <c r="M33" s="60"/>
      <c r="N33" s="61"/>
      <c r="O33" s="62"/>
      <c r="P33" s="62"/>
    </row>
    <row r="34" spans="2:16">
      <c r="B34" s="20"/>
      <c r="C34" s="17"/>
      <c r="D34" s="10"/>
      <c r="E34" s="16"/>
      <c r="F34" s="16"/>
      <c r="G34" s="16"/>
      <c r="H34" s="16"/>
      <c r="I34" s="16"/>
      <c r="J34" s="16"/>
      <c r="M34" s="60"/>
      <c r="N34" s="61"/>
      <c r="O34" s="62"/>
      <c r="P34" s="62"/>
    </row>
    <row r="35" spans="2:16">
      <c r="B35" s="20"/>
      <c r="C35" s="17"/>
      <c r="D35" s="11"/>
      <c r="E35" s="16"/>
      <c r="F35" s="16"/>
      <c r="G35" s="16"/>
      <c r="H35" s="16"/>
      <c r="I35" s="16"/>
      <c r="J35" s="16"/>
      <c r="M35" s="59"/>
      <c r="N35" s="63"/>
      <c r="O35" s="64"/>
      <c r="P35" s="64"/>
    </row>
    <row r="36" spans="2:16">
      <c r="B36" s="20"/>
      <c r="C36" s="17"/>
      <c r="D36" s="12"/>
      <c r="E36" s="16"/>
      <c r="F36" s="16"/>
      <c r="G36" s="16"/>
      <c r="H36" s="16"/>
      <c r="I36" s="16"/>
      <c r="J36" s="16"/>
      <c r="M36" s="60"/>
      <c r="N36" s="63"/>
      <c r="O36" s="64"/>
      <c r="P36" s="64"/>
    </row>
    <row r="37" spans="2:16">
      <c r="B37" s="20"/>
      <c r="C37" s="17"/>
      <c r="D37" s="9"/>
      <c r="E37" s="16"/>
      <c r="F37" s="16"/>
      <c r="G37" s="16"/>
      <c r="H37" s="16"/>
      <c r="I37" s="16"/>
      <c r="J37" s="16"/>
      <c r="M37" s="60"/>
      <c r="N37" s="63"/>
      <c r="O37" s="64"/>
      <c r="P37" s="64"/>
    </row>
    <row r="38" spans="2:16">
      <c r="B38" s="20"/>
      <c r="C38" s="17"/>
      <c r="D38" s="9"/>
      <c r="E38" s="16"/>
      <c r="F38" s="16"/>
      <c r="G38" s="16"/>
      <c r="H38" s="16"/>
      <c r="I38" s="16"/>
      <c r="J38" s="16"/>
      <c r="M38" s="59"/>
      <c r="N38" s="63"/>
      <c r="O38" s="64"/>
      <c r="P38" s="64"/>
    </row>
    <row r="39" spans="2:16">
      <c r="B39" s="20"/>
      <c r="C39" s="17"/>
      <c r="D39" s="9"/>
      <c r="E39" s="16"/>
      <c r="F39" s="16"/>
      <c r="G39" s="16"/>
      <c r="H39" s="16"/>
      <c r="I39" s="16"/>
      <c r="J39" s="16"/>
      <c r="M39" s="60"/>
      <c r="N39" s="63"/>
      <c r="O39" s="64"/>
      <c r="P39" s="64"/>
    </row>
    <row r="40" spans="2:16">
      <c r="B40" s="20"/>
      <c r="C40" s="17"/>
      <c r="D40" s="9"/>
      <c r="E40" s="16"/>
      <c r="F40" s="16"/>
      <c r="G40" s="16"/>
      <c r="H40" s="16"/>
      <c r="I40" s="16"/>
      <c r="J40" s="16"/>
      <c r="M40" s="60"/>
      <c r="N40" s="63"/>
      <c r="O40" s="64"/>
      <c r="P40" s="64"/>
    </row>
    <row r="41" spans="2:16">
      <c r="B41" s="20"/>
      <c r="C41" s="17"/>
      <c r="D41" s="9"/>
      <c r="E41" s="16"/>
      <c r="F41" s="16"/>
      <c r="G41" s="16"/>
      <c r="H41" s="16"/>
      <c r="I41" s="16"/>
      <c r="J41" s="16"/>
      <c r="M41" s="60"/>
      <c r="N41" s="63"/>
      <c r="O41" s="64"/>
      <c r="P41" s="64"/>
    </row>
  </sheetData>
  <mergeCells count="24">
    <mergeCell ref="R3:U7"/>
    <mergeCell ref="Q3:Q7"/>
    <mergeCell ref="M3:N3"/>
    <mergeCell ref="M4:N4"/>
    <mergeCell ref="O4:O21"/>
    <mergeCell ref="N5:N9"/>
    <mergeCell ref="N10:N21"/>
    <mergeCell ref="M5:M8"/>
    <mergeCell ref="M10:M14"/>
    <mergeCell ref="M15:M17"/>
    <mergeCell ref="M18:M21"/>
    <mergeCell ref="B3:D3"/>
    <mergeCell ref="B10:B21"/>
    <mergeCell ref="B5:B9"/>
    <mergeCell ref="C5:C8"/>
    <mergeCell ref="C10:C14"/>
    <mergeCell ref="C18:C21"/>
    <mergeCell ref="C15:C17"/>
    <mergeCell ref="G20:G21"/>
    <mergeCell ref="G5:G8"/>
    <mergeCell ref="G10:G14"/>
    <mergeCell ref="G16:G17"/>
    <mergeCell ref="B4:C4"/>
    <mergeCell ref="G18:G19"/>
  </mergeCells>
  <phoneticPr fontId="2"/>
  <dataValidations count="1">
    <dataValidation type="list" allowBlank="1" showInputMessage="1" showErrorMessage="1" sqref="AB4:AB14 AD15:AD21" xr:uid="{C9CD86D9-E2DE-8C40-9C09-05D2ECCCFA05}">
      <formula1>$R$4:$R$6</formula1>
    </dataValidation>
  </dataValidations>
  <pageMargins left="0.25" right="0" top="0" bottom="0" header="0.3" footer="0.3"/>
  <pageSetup paperSize="9" orientation="landscape" horizontalDpi="0" verticalDpi="0"/>
  <ignoredErrors>
    <ignoredError sqref="X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ケーススタディ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elabo</dc:creator>
  <cp:lastModifiedBy>Microsoft Office User</cp:lastModifiedBy>
  <cp:lastPrinted>2023-02-07T05:30:01Z</cp:lastPrinted>
  <dcterms:created xsi:type="dcterms:W3CDTF">2022-04-15T00:56:54Z</dcterms:created>
  <dcterms:modified xsi:type="dcterms:W3CDTF">2023-03-31T00:07:37Z</dcterms:modified>
</cp:coreProperties>
</file>